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1.xml" ContentType="application/vnd.openxmlformats-officedocument.drawing+xml"/>
  <Override PartName="/xl/sharedStrings.xml" ContentType="application/vnd.openxmlformats-officedocument.spreadsheetml.sharedStrings+xml"/>
  <Override PartName="/xl/worksheets/sheet14.xml" ContentType="application/vnd.openxmlformats-officedocument.spreadsheetml.worksheet+xml"/>
  <Override PartName="/xl/worksheets/sheet1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DieseArbeitsmappe" autoCompressPictures="0" defaultThemeVersion="164011"/>
  <mc:AlternateContent xmlns:mc="http://schemas.openxmlformats.org/markup-compatibility/2006">
    <mc:Choice Requires="x15">
      <x15ac:absPath xmlns:x15ac="http://schemas.microsoft.com/office/spreadsheetml/2010/11/ac" url="Y:\Daten_TE\Daten_A\Strassenentwässerung\Berechnungstool ANU-TBA\"/>
    </mc:Choice>
  </mc:AlternateContent>
  <workbookProtection workbookAlgorithmName="SHA-512" workbookHashValue="mHSIFHnjHPT5+lOxh9OMbKnpttaSSA2bbxBPM0hcZjHs5YSLOo3Lm8T4PuBmVAjsvwfC9Vks8jy1JxfZqGDzLw==" workbookSaltValue="nXtS5Jn/HsF0yyk9H4vTGw==" workbookSpinCount="100000" lockStructure="1"/>
  <bookViews>
    <workbookView xWindow="0" yWindow="0" windowWidth="22200" windowHeight="12315" tabRatio="874"/>
  </bookViews>
  <sheets>
    <sheet name="Berechnungstool" sheetId="1" r:id="rId1"/>
    <sheet name="Info" sheetId="7" r:id="rId2"/>
    <sheet name="Skizze SS" sheetId="19" r:id="rId3"/>
    <sheet name="INDEX" sheetId="13" r:id="rId4"/>
    <sheet name="1" sheetId="2" r:id="rId5"/>
    <sheet name="2" sheetId="4" r:id="rId6"/>
    <sheet name="3" sheetId="3" r:id="rId7"/>
    <sheet name="4" sheetId="5" r:id="rId8"/>
    <sheet name="5" sheetId="20" r:id="rId9"/>
    <sheet name="6" sheetId="9" r:id="rId10"/>
    <sheet name="7" sheetId="11" r:id="rId11"/>
    <sheet name="8" sheetId="15" r:id="rId12"/>
    <sheet name="9" sheetId="18" r:id="rId13"/>
    <sheet name="10" sheetId="16" r:id="rId14"/>
    <sheet name="11" sheetId="17" r:id="rId15"/>
    <sheet name="12" sheetId="8" r:id="rId16"/>
    <sheet name="13" sheetId="10" r:id="rId17"/>
    <sheet name="14" sheetId="12" r:id="rId18"/>
  </sheets>
  <definedNames>
    <definedName name="_xlnm.Print_Area" localSheetId="0">Berechnungstool!$A$1:$AF$68</definedName>
    <definedName name="_xlnm.Print_Area" localSheetId="2">'Skizze SS'!$A$1:$AD$50</definedName>
    <definedName name="_xlnm.Print_Titles" localSheetId="1">Info!$1:$1</definedName>
    <definedName name="fliessend">'1'!$A$17:$A$20</definedName>
    <definedName name="ja">'1'!$N$23:$N$25</definedName>
    <definedName name="nein">'1'!$P$23:$P$27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9" i="1" l="1"/>
  <c r="E47" i="1" l="1"/>
  <c r="F31" i="1"/>
  <c r="H5" i="19" l="1"/>
  <c r="N46" i="1" l="1"/>
  <c r="N45" i="1"/>
  <c r="A46" i="1"/>
  <c r="A45" i="1"/>
  <c r="A47" i="1"/>
  <c r="A5" i="19"/>
  <c r="A4" i="19"/>
  <c r="H10" i="20"/>
  <c r="N47" i="1" l="1"/>
  <c r="R10" i="20"/>
  <c r="H11" i="20"/>
  <c r="R11" i="20" s="1"/>
  <c r="N11" i="20"/>
  <c r="N10" i="20"/>
  <c r="A3" i="19" l="1"/>
  <c r="N4" i="19"/>
  <c r="N3" i="19"/>
  <c r="H3" i="19"/>
  <c r="C24" i="12" l="1"/>
  <c r="C24" i="17"/>
  <c r="R39" i="1"/>
  <c r="AE30" i="1"/>
  <c r="AE29" i="1"/>
  <c r="R31" i="1"/>
  <c r="R30" i="1"/>
  <c r="R29" i="1"/>
  <c r="R28" i="1"/>
  <c r="R35" i="1"/>
  <c r="A15" i="1" l="1"/>
  <c r="R66" i="1" l="1"/>
  <c r="R67" i="1"/>
  <c r="I25" i="1"/>
  <c r="C23" i="17" l="1"/>
  <c r="C23" i="12"/>
  <c r="Q9" i="18" l="1"/>
  <c r="Q8" i="18"/>
  <c r="AE67" i="1"/>
  <c r="AE66" i="1"/>
  <c r="I62" i="1" l="1"/>
  <c r="C22" i="17" l="1"/>
  <c r="C21" i="17"/>
  <c r="C20" i="17"/>
  <c r="C19" i="17"/>
  <c r="C18" i="17"/>
  <c r="C17" i="17"/>
  <c r="C16" i="17"/>
  <c r="C15" i="17"/>
  <c r="C14" i="17"/>
  <c r="C13" i="17"/>
  <c r="C12" i="17"/>
  <c r="C11" i="17"/>
  <c r="I7" i="17"/>
  <c r="I5" i="17"/>
  <c r="G10" i="16" l="1"/>
  <c r="G11" i="16"/>
  <c r="G12" i="16"/>
  <c r="G9" i="16"/>
  <c r="Z5" i="1"/>
  <c r="Z6" i="1" s="1"/>
  <c r="V3" i="19" s="1"/>
  <c r="I23" i="1"/>
  <c r="I40" i="1" l="1"/>
  <c r="H11" i="15" l="1"/>
  <c r="H10" i="15"/>
  <c r="H9" i="15"/>
  <c r="H8" i="15"/>
  <c r="Z29" i="1" l="1"/>
  <c r="Z30" i="1" s="1"/>
  <c r="I34" i="1" s="1"/>
  <c r="I5" i="12"/>
  <c r="Z31" i="1" l="1"/>
  <c r="R32" i="1" s="1"/>
  <c r="M10" i="4"/>
  <c r="M9" i="4"/>
  <c r="C18" i="12" l="1"/>
  <c r="C19" i="12"/>
  <c r="C20" i="12"/>
  <c r="C21" i="12"/>
  <c r="C22" i="12"/>
  <c r="I7" i="12"/>
  <c r="C12" i="12"/>
  <c r="C13" i="12"/>
  <c r="C14" i="12"/>
  <c r="C15" i="12"/>
  <c r="C16" i="12"/>
  <c r="C17" i="12"/>
  <c r="C11" i="12"/>
  <c r="S19" i="10" l="1"/>
  <c r="U11" i="9" l="1"/>
  <c r="U12" i="9"/>
  <c r="U13" i="9"/>
  <c r="U14" i="9"/>
  <c r="U15" i="9"/>
  <c r="U16" i="9"/>
  <c r="U17" i="9"/>
  <c r="U18" i="9"/>
  <c r="Q11" i="9"/>
  <c r="Q12" i="9"/>
  <c r="Q13" i="9"/>
  <c r="Q14" i="9"/>
  <c r="Q15" i="9"/>
  <c r="Q16" i="9"/>
  <c r="Q17" i="9"/>
  <c r="Q18" i="9"/>
  <c r="Q8" i="9"/>
  <c r="Q9" i="9"/>
  <c r="Q10" i="9"/>
  <c r="Q7" i="9"/>
  <c r="I24" i="1" s="1"/>
  <c r="U8" i="9"/>
  <c r="U9" i="9"/>
  <c r="U10" i="9"/>
  <c r="U7" i="9"/>
  <c r="O10" i="5"/>
  <c r="O11" i="5"/>
  <c r="O12" i="5"/>
  <c r="O9" i="5"/>
  <c r="G10" i="5"/>
  <c r="G11" i="5"/>
  <c r="G12" i="5"/>
  <c r="G9" i="5"/>
  <c r="M11" i="4"/>
  <c r="W10" i="4"/>
  <c r="W11" i="4"/>
  <c r="W9" i="4"/>
  <c r="N19" i="3"/>
  <c r="N20" i="3"/>
  <c r="N21" i="3"/>
  <c r="N22" i="3"/>
  <c r="N23" i="3"/>
  <c r="N24" i="3"/>
  <c r="Z21" i="1" l="1"/>
  <c r="Z22" i="1" s="1"/>
  <c r="Z10" i="1"/>
  <c r="I13" i="1"/>
  <c r="Q24" i="17" l="1"/>
  <c r="Q24" i="12"/>
  <c r="I6" i="17"/>
  <c r="I6" i="12"/>
  <c r="Q11" i="12"/>
  <c r="Q16" i="12"/>
  <c r="Q23" i="12"/>
  <c r="Q15" i="12"/>
  <c r="Q20" i="12"/>
  <c r="Q18" i="12"/>
  <c r="Q17" i="12"/>
  <c r="Q22" i="12"/>
  <c r="Q14" i="12"/>
  <c r="Q21" i="12"/>
  <c r="Q13" i="12"/>
  <c r="Q19" i="12"/>
  <c r="Q12" i="12"/>
  <c r="Q12" i="17"/>
  <c r="Q20" i="17"/>
  <c r="Q22" i="17"/>
  <c r="Q16" i="17"/>
  <c r="Q13" i="17"/>
  <c r="Q21" i="17"/>
  <c r="Q15" i="17"/>
  <c r="Q23" i="17"/>
  <c r="Q11" i="17"/>
  <c r="Q18" i="17"/>
  <c r="Q19" i="17"/>
  <c r="Q14" i="17"/>
  <c r="Q17" i="17"/>
  <c r="X20" i="3"/>
  <c r="X14" i="3"/>
  <c r="V14" i="11"/>
  <c r="V22" i="11"/>
  <c r="V30" i="11"/>
  <c r="V21" i="11"/>
  <c r="V15" i="11"/>
  <c r="V23" i="11"/>
  <c r="V7" i="11"/>
  <c r="V29" i="11"/>
  <c r="V8" i="11"/>
  <c r="V16" i="11"/>
  <c r="V24" i="11"/>
  <c r="V9" i="11"/>
  <c r="V17" i="11"/>
  <c r="V25" i="11"/>
  <c r="V10" i="11"/>
  <c r="V18" i="11"/>
  <c r="V26" i="11"/>
  <c r="V20" i="11"/>
  <c r="V11" i="11"/>
  <c r="V19" i="11"/>
  <c r="V27" i="11"/>
  <c r="V28" i="11"/>
  <c r="V12" i="11"/>
  <c r="V13" i="11"/>
  <c r="S14" i="10"/>
  <c r="S12" i="10"/>
  <c r="S13" i="10"/>
  <c r="X19" i="3"/>
  <c r="X22" i="3"/>
  <c r="X24" i="3"/>
  <c r="X21" i="3"/>
  <c r="X23" i="3"/>
  <c r="I39" i="1" l="1"/>
  <c r="A41" i="1" s="1"/>
  <c r="X8" i="3"/>
  <c r="X9" i="3"/>
  <c r="X10" i="3"/>
  <c r="X11" i="3"/>
  <c r="X12" i="3"/>
  <c r="X13" i="3"/>
  <c r="X15" i="3"/>
  <c r="X16" i="3"/>
  <c r="X17" i="3"/>
  <c r="X18" i="3"/>
  <c r="X25" i="3"/>
  <c r="X26" i="3"/>
  <c r="X27" i="3"/>
  <c r="X28" i="3"/>
  <c r="X29" i="3"/>
  <c r="X30" i="3"/>
  <c r="X7" i="3"/>
  <c r="N8" i="3"/>
  <c r="N9" i="3"/>
  <c r="N10" i="3"/>
  <c r="N11" i="3"/>
  <c r="N12" i="3"/>
  <c r="N13" i="3"/>
  <c r="N14" i="3"/>
  <c r="N15" i="3"/>
  <c r="N16" i="3"/>
  <c r="N17" i="3"/>
  <c r="N18" i="3"/>
  <c r="N25" i="3"/>
  <c r="N26" i="3"/>
  <c r="N27" i="3"/>
  <c r="N28" i="3"/>
  <c r="N29" i="3"/>
  <c r="N30" i="3"/>
  <c r="N7" i="3"/>
  <c r="I14" i="1" l="1"/>
  <c r="F24" i="12"/>
  <c r="L24" i="12" s="1"/>
  <c r="V24" i="12" s="1"/>
  <c r="F24" i="17"/>
  <c r="L24" i="17" s="1"/>
  <c r="V24" i="17" s="1"/>
  <c r="A38" i="1"/>
  <c r="A37" i="1"/>
  <c r="A36" i="1"/>
  <c r="N38" i="1"/>
  <c r="F36" i="1"/>
  <c r="N36" i="1"/>
  <c r="F23" i="17"/>
  <c r="L23" i="17" s="1"/>
  <c r="V23" i="17" s="1"/>
  <c r="F23" i="12"/>
  <c r="L23" i="12" s="1"/>
  <c r="V23" i="12" s="1"/>
  <c r="Q7" i="18"/>
  <c r="Q16" i="18"/>
  <c r="Q14" i="18"/>
  <c r="Q17" i="18"/>
  <c r="Q12" i="18"/>
  <c r="Q13" i="18"/>
  <c r="Q11" i="18"/>
  <c r="Q15" i="18"/>
  <c r="Q10" i="18"/>
  <c r="Q18" i="18"/>
  <c r="A39" i="1"/>
  <c r="F21" i="17"/>
  <c r="L21" i="17" s="1"/>
  <c r="V21" i="17" s="1"/>
  <c r="F16" i="17"/>
  <c r="L16" i="17" s="1"/>
  <c r="V16" i="17" s="1"/>
  <c r="F12" i="17"/>
  <c r="L12" i="17" s="1"/>
  <c r="V12" i="17" s="1"/>
  <c r="F20" i="17"/>
  <c r="L20" i="17" s="1"/>
  <c r="V20" i="17" s="1"/>
  <c r="F13" i="17"/>
  <c r="L13" i="17" s="1"/>
  <c r="V13" i="17" s="1"/>
  <c r="F17" i="17"/>
  <c r="L17" i="17" s="1"/>
  <c r="V17" i="17" s="1"/>
  <c r="F18" i="17"/>
  <c r="L18" i="17" s="1"/>
  <c r="V18" i="17" s="1"/>
  <c r="F14" i="17"/>
  <c r="L14" i="17" s="1"/>
  <c r="V14" i="17" s="1"/>
  <c r="F11" i="17"/>
  <c r="L11" i="17" s="1"/>
  <c r="V11" i="17" s="1"/>
  <c r="AN11" i="17" s="1"/>
  <c r="F22" i="17"/>
  <c r="L22" i="17" s="1"/>
  <c r="V22" i="17" s="1"/>
  <c r="F19" i="17"/>
  <c r="L19" i="17" s="1"/>
  <c r="V19" i="17" s="1"/>
  <c r="F15" i="17"/>
  <c r="L15" i="17" s="1"/>
  <c r="V15" i="17" s="1"/>
  <c r="Z8" i="1"/>
  <c r="Z9" i="1" s="1"/>
  <c r="F12" i="12"/>
  <c r="L12" i="12" s="1"/>
  <c r="V12" i="12" s="1"/>
  <c r="F20" i="12"/>
  <c r="L20" i="12" s="1"/>
  <c r="V20" i="12" s="1"/>
  <c r="F11" i="12"/>
  <c r="L11" i="12" s="1"/>
  <c r="V11" i="12" s="1"/>
  <c r="AN11" i="12" s="1"/>
  <c r="F13" i="12"/>
  <c r="L13" i="12" s="1"/>
  <c r="V13" i="12" s="1"/>
  <c r="F21" i="12"/>
  <c r="L21" i="12" s="1"/>
  <c r="V21" i="12" s="1"/>
  <c r="F22" i="12"/>
  <c r="L22" i="12" s="1"/>
  <c r="V22" i="12" s="1"/>
  <c r="F18" i="12"/>
  <c r="L18" i="12" s="1"/>
  <c r="V18" i="12" s="1"/>
  <c r="F14" i="12"/>
  <c r="L14" i="12" s="1"/>
  <c r="V14" i="12" s="1"/>
  <c r="F15" i="12"/>
  <c r="L15" i="12" s="1"/>
  <c r="V15" i="12" s="1"/>
  <c r="F16" i="12"/>
  <c r="L16" i="12" s="1"/>
  <c r="V16" i="12" s="1"/>
  <c r="F17" i="12"/>
  <c r="L17" i="12" s="1"/>
  <c r="V17" i="12" s="1"/>
  <c r="F19" i="12"/>
  <c r="L19" i="12" s="1"/>
  <c r="V19" i="12" s="1"/>
  <c r="Z11" i="1" l="1"/>
  <c r="Y39" i="1"/>
  <c r="I49" i="1" l="1"/>
  <c r="N9" i="8" s="1"/>
  <c r="V4" i="19"/>
  <c r="Z36" i="1"/>
  <c r="AA24" i="17" s="1"/>
  <c r="Z57" i="1"/>
  <c r="A68" i="1"/>
  <c r="R36" i="1"/>
  <c r="AE37" i="1"/>
  <c r="R37" i="1"/>
  <c r="AE38" i="1"/>
  <c r="AE36" i="1"/>
  <c r="R38" i="1"/>
  <c r="Z59" i="1" l="1"/>
  <c r="A63" i="1" s="1"/>
  <c r="H4" i="19"/>
  <c r="N16" i="8"/>
  <c r="N17" i="8"/>
  <c r="N18" i="8"/>
  <c r="AA23" i="17"/>
  <c r="N10" i="8"/>
  <c r="N11" i="8"/>
  <c r="N7" i="8"/>
  <c r="N15" i="8"/>
  <c r="N8" i="8"/>
  <c r="A48" i="1"/>
  <c r="AA19" i="17"/>
  <c r="AA22" i="17"/>
  <c r="AA12" i="17"/>
  <c r="AA14" i="17"/>
  <c r="AA20" i="17"/>
  <c r="AA17" i="17"/>
  <c r="AA15" i="17"/>
  <c r="AA21" i="17"/>
  <c r="AA16" i="17"/>
  <c r="AA13" i="17"/>
  <c r="AA18" i="17"/>
  <c r="R59" i="1" l="1"/>
  <c r="A6" i="19" s="1"/>
  <c r="H6" i="19"/>
  <c r="K6" i="19"/>
  <c r="K4" i="19"/>
  <c r="I50" i="1"/>
  <c r="I51" i="1"/>
  <c r="I52" i="1" s="1"/>
  <c r="S9" i="10" s="1"/>
  <c r="I53" i="1" l="1"/>
  <c r="S18" i="10" s="1"/>
  <c r="Z66" i="1"/>
  <c r="AA15" i="12" s="1"/>
  <c r="S6" i="10"/>
  <c r="S7" i="10"/>
  <c r="S10" i="10"/>
  <c r="S8" i="10"/>
  <c r="S11" i="10"/>
  <c r="Z47" i="1"/>
  <c r="A54" i="1" s="1"/>
  <c r="AE12" i="17"/>
  <c r="AN12" i="17" s="1"/>
  <c r="AA21" i="12" l="1"/>
  <c r="AA18" i="12"/>
  <c r="AA24" i="12"/>
  <c r="AA22" i="12"/>
  <c r="AA12" i="12"/>
  <c r="AE12" i="12" s="1"/>
  <c r="AN12" i="12" s="1"/>
  <c r="AA17" i="12"/>
  <c r="AA19" i="12"/>
  <c r="AA20" i="12"/>
  <c r="AA13" i="12"/>
  <c r="AA14" i="12"/>
  <c r="AA16" i="12"/>
  <c r="AA23" i="12"/>
  <c r="S17" i="10"/>
  <c r="Z48" i="1" s="1"/>
  <c r="AE13" i="17"/>
  <c r="AN13" i="17" s="1"/>
  <c r="AE13" i="12" l="1"/>
  <c r="AN13" i="12" s="1"/>
  <c r="AE14" i="17"/>
  <c r="AN14" i="17" s="1"/>
  <c r="AE14" i="12" l="1"/>
  <c r="AN14" i="12" s="1"/>
  <c r="AE15" i="17"/>
  <c r="AN15" i="17" s="1"/>
  <c r="AE15" i="12" l="1"/>
  <c r="AN15" i="12" s="1"/>
  <c r="AE16" i="17"/>
  <c r="AN16" i="17" s="1"/>
  <c r="AE16" i="12" l="1"/>
  <c r="AN16" i="12" s="1"/>
  <c r="AE17" i="17"/>
  <c r="AN17" i="17" s="1"/>
  <c r="AE17" i="12" l="1"/>
  <c r="AN17" i="12" s="1"/>
  <c r="AE18" i="17"/>
  <c r="AN18" i="17" s="1"/>
  <c r="AE18" i="12" l="1"/>
  <c r="AN18" i="12" s="1"/>
  <c r="AE19" i="17"/>
  <c r="AN19" i="17" s="1"/>
  <c r="AE19" i="12" l="1"/>
  <c r="AN19" i="12" s="1"/>
  <c r="AE20" i="17"/>
  <c r="AN20" i="17" s="1"/>
  <c r="AE20" i="12" l="1"/>
  <c r="AN20" i="12" s="1"/>
  <c r="AE21" i="17"/>
  <c r="AN21" i="17" s="1"/>
  <c r="AE21" i="12" l="1"/>
  <c r="AN21" i="12" s="1"/>
  <c r="AE22" i="17"/>
  <c r="AN22" i="17" s="1"/>
  <c r="AE22" i="12" l="1"/>
  <c r="AN22" i="12" s="1"/>
  <c r="AE23" i="17"/>
  <c r="AE24" i="17" s="1"/>
  <c r="AN24" i="17" s="1"/>
  <c r="AE23" i="12" l="1"/>
  <c r="AN23" i="12" s="1"/>
  <c r="AN23" i="17"/>
  <c r="AJ17" i="17" s="1"/>
  <c r="AE24" i="12" l="1"/>
  <c r="AN24" i="12" s="1"/>
  <c r="AJ23" i="12" s="1"/>
  <c r="AJ24" i="17"/>
  <c r="AJ23" i="17"/>
  <c r="AJ13" i="17"/>
  <c r="AJ19" i="17"/>
  <c r="AJ21" i="17"/>
  <c r="AJ22" i="17"/>
  <c r="AJ16" i="17"/>
  <c r="AJ11" i="17"/>
  <c r="AJ14" i="17"/>
  <c r="AJ15" i="17"/>
  <c r="AJ20" i="17"/>
  <c r="AJ12" i="17"/>
  <c r="AJ18" i="17"/>
  <c r="AJ21" i="12" l="1"/>
  <c r="AJ20" i="12"/>
  <c r="AJ22" i="12"/>
  <c r="AJ13" i="12"/>
  <c r="AJ15" i="12"/>
  <c r="AJ19" i="12"/>
  <c r="AJ24" i="12"/>
  <c r="AJ17" i="12"/>
  <c r="AJ14" i="12"/>
  <c r="AJ11" i="12"/>
  <c r="AJ12" i="12"/>
  <c r="AJ16" i="12"/>
  <c r="AJ18" i="12"/>
  <c r="Z37" i="1"/>
  <c r="Z38" i="1" s="1"/>
  <c r="Z67" i="1" l="1"/>
</calcChain>
</file>

<file path=xl/sharedStrings.xml><?xml version="1.0" encoding="utf-8"?>
<sst xmlns="http://schemas.openxmlformats.org/spreadsheetml/2006/main" count="763" uniqueCount="294">
  <si>
    <t>Regenregion</t>
  </si>
  <si>
    <t>Engadin</t>
  </si>
  <si>
    <t>Alpen</t>
  </si>
  <si>
    <t>Voralpen</t>
  </si>
  <si>
    <t>Wiederkehrperiode</t>
  </si>
  <si>
    <t>h</t>
  </si>
  <si>
    <t>Jahre</t>
  </si>
  <si>
    <t>Datengrundlage:</t>
  </si>
  <si>
    <t>VSS 40 350 Oberflächenentwässerung von Strassen</t>
  </si>
  <si>
    <t>Regenintensität</t>
  </si>
  <si>
    <t>aT</t>
  </si>
  <si>
    <t>bT</t>
  </si>
  <si>
    <t>Abfrage</t>
  </si>
  <si>
    <t>l/s*ha</t>
  </si>
  <si>
    <t>[l/s*ha]</t>
  </si>
  <si>
    <t>[-]</t>
  </si>
  <si>
    <t>[Jahre]</t>
  </si>
  <si>
    <t>Verlängerung der Regendauer</t>
  </si>
  <si>
    <t>Sickerwasser</t>
  </si>
  <si>
    <t>Belastungsklasse</t>
  </si>
  <si>
    <t>Tessin Nord</t>
  </si>
  <si>
    <t>Strassenlänge</t>
  </si>
  <si>
    <t>m</t>
  </si>
  <si>
    <t>Strassenbreite</t>
  </si>
  <si>
    <t>Zusätzliche Flächen</t>
  </si>
  <si>
    <t>m²</t>
  </si>
  <si>
    <t>ha</t>
  </si>
  <si>
    <t>Abflusskoeffizient</t>
  </si>
  <si>
    <t>Regendauer</t>
  </si>
  <si>
    <t>VSS 40 357 Bemessungsabflüsse der Kanalisation</t>
  </si>
  <si>
    <t xml:space="preserve">Perimeterbereich </t>
  </si>
  <si>
    <t>mit Abstand zum Berechnungspunkt</t>
  </si>
  <si>
    <t>(Strassenlänge ~ Kanalnetzlänge)</t>
  </si>
  <si>
    <t>[m]</t>
  </si>
  <si>
    <t>0…300</t>
  </si>
  <si>
    <t>301…600</t>
  </si>
  <si>
    <t>601…Perimetergrenze</t>
  </si>
  <si>
    <t>[min]</t>
  </si>
  <si>
    <t>[h]</t>
  </si>
  <si>
    <t>wenig</t>
  </si>
  <si>
    <t>mittel</t>
  </si>
  <si>
    <t>viel</t>
  </si>
  <si>
    <t>nicht gefasst</t>
  </si>
  <si>
    <t>Zufluss Total</t>
  </si>
  <si>
    <t>l/s</t>
  </si>
  <si>
    <t>Annahme in Absprache TBA und ANU</t>
  </si>
  <si>
    <t>Begründung:</t>
  </si>
  <si>
    <t>durch kombinierte Sicker- und Transportleitungen</t>
  </si>
  <si>
    <t>Hydraulische Mehrbelastung des Schlammsammlers</t>
  </si>
  <si>
    <t>Sickerwasseranfall</t>
  </si>
  <si>
    <t>Zufluss Regen</t>
  </si>
  <si>
    <t>Zufluss Sickerwasser</t>
  </si>
  <si>
    <t>Herleitung:</t>
  </si>
  <si>
    <t>Sickerwasser fällt über die Fahrbahnlänge an</t>
  </si>
  <si>
    <t>Ansatz*</t>
  </si>
  <si>
    <t>* 1 Liter pro s und 100 m Fahrbahnlänge etc.</t>
  </si>
  <si>
    <t>[l/s]</t>
  </si>
  <si>
    <t>[l/s*m]</t>
  </si>
  <si>
    <t>Fläche Total</t>
  </si>
  <si>
    <t>Reduzierte Fläche Total</t>
  </si>
  <si>
    <t>DTV</t>
  </si>
  <si>
    <t>Verkehrsfrequenz</t>
  </si>
  <si>
    <t>Anteil Schwerverkehr</t>
  </si>
  <si>
    <t>Steigung</t>
  </si>
  <si>
    <t>%</t>
  </si>
  <si>
    <t>Innerorts</t>
  </si>
  <si>
    <t>Strassenreinigung</t>
  </si>
  <si>
    <t>Abschnitte innerorts</t>
  </si>
  <si>
    <t>ja</t>
  </si>
  <si>
    <t>nein</t>
  </si>
  <si>
    <t>ja/nein</t>
  </si>
  <si>
    <t>im Jahr</t>
  </si>
  <si>
    <t>Belastungspunkte</t>
  </si>
  <si>
    <t>2. Belastungsklasse</t>
  </si>
  <si>
    <t>gering</t>
  </si>
  <si>
    <t>hoch</t>
  </si>
  <si>
    <t>4 - 8</t>
  </si>
  <si>
    <t>&lt; 4</t>
  </si>
  <si>
    <t>&gt; 8</t>
  </si>
  <si>
    <t>≤ 8</t>
  </si>
  <si>
    <t>VSA-Richtlinie Abwasserbewirtschaftung bei Regenwetter</t>
  </si>
  <si>
    <t>BP</t>
  </si>
  <si>
    <t>Schwerverkehr</t>
  </si>
  <si>
    <t>[BP]</t>
  </si>
  <si>
    <t>Zwischentotal</t>
  </si>
  <si>
    <t>[%]</t>
  </si>
  <si>
    <t>Grundbelastung</t>
  </si>
  <si>
    <t>Weitere Belastung</t>
  </si>
  <si>
    <t>Tabelle B8</t>
  </si>
  <si>
    <t>Gewässertyp</t>
  </si>
  <si>
    <t>fliessend</t>
  </si>
  <si>
    <t>stehend</t>
  </si>
  <si>
    <t>Niedrigwasserabfluss</t>
  </si>
  <si>
    <t>Behandlung</t>
  </si>
  <si>
    <t>keine</t>
  </si>
  <si>
    <t>ja, standard</t>
  </si>
  <si>
    <t>ja, erhöht</t>
  </si>
  <si>
    <t>Retention</t>
  </si>
  <si>
    <t>erforderlich</t>
  </si>
  <si>
    <t>Einleitverhältnis V</t>
  </si>
  <si>
    <t>Gewässerfaktor fG</t>
  </si>
  <si>
    <t>Sohlenfaktor fS</t>
  </si>
  <si>
    <t>Sohlenbeschaffung</t>
  </si>
  <si>
    <t>Einleitverhältnis VG</t>
  </si>
  <si>
    <t>fein</t>
  </si>
  <si>
    <t>kiesig</t>
  </si>
  <si>
    <t>steinig</t>
  </si>
  <si>
    <t>blockig</t>
  </si>
  <si>
    <t>&lt; 1</t>
  </si>
  <si>
    <t>≥ 1</t>
  </si>
  <si>
    <t>&lt; 0.1</t>
  </si>
  <si>
    <t>Gilt nur für Voralpenbäche und grössere Fliessgewässer</t>
  </si>
  <si>
    <t>Einleitverhältnis VS</t>
  </si>
  <si>
    <t>&gt; 1</t>
  </si>
  <si>
    <t>≤ 1</t>
  </si>
  <si>
    <t>nicht definiert</t>
  </si>
  <si>
    <t>irrelevant</t>
  </si>
  <si>
    <t>≥ 0.1</t>
  </si>
  <si>
    <t>Tabelle B12</t>
  </si>
  <si>
    <t>Durchmesser</t>
  </si>
  <si>
    <t>Inner-halb Strasse</t>
  </si>
  <si>
    <t>ausser-halb Strasse</t>
  </si>
  <si>
    <t>Zulässige Durchmesser SS</t>
  </si>
  <si>
    <t>Im Strassenraum</t>
  </si>
  <si>
    <t xml:space="preserve"> ja</t>
  </si>
  <si>
    <t>Verweildauer</t>
  </si>
  <si>
    <t>s</t>
  </si>
  <si>
    <t>Schlammraumtiefe</t>
  </si>
  <si>
    <t>Sinkgeschwindigkeit</t>
  </si>
  <si>
    <t>m/h</t>
  </si>
  <si>
    <t>Abscheideoberfläche</t>
  </si>
  <si>
    <t>Höhe Abscheideraum</t>
  </si>
  <si>
    <t>Standort</t>
  </si>
  <si>
    <t>Gewässerschutzbereich</t>
  </si>
  <si>
    <t>üB</t>
  </si>
  <si>
    <t>Au</t>
  </si>
  <si>
    <t>S3, Sh, Sm</t>
  </si>
  <si>
    <t>S2, S1, SS</t>
  </si>
  <si>
    <t>Bodenpassage</t>
  </si>
  <si>
    <t>cm</t>
  </si>
  <si>
    <t>Ober- u. Unterboden</t>
  </si>
  <si>
    <t>6. Dimensionierung der Retentionsanlage</t>
  </si>
  <si>
    <t>Tabelle B11</t>
  </si>
  <si>
    <t>unzulässig</t>
  </si>
  <si>
    <t>[m³]</t>
  </si>
  <si>
    <t>Summe [m³]</t>
  </si>
  <si>
    <t>Max. Einleitungmenge</t>
  </si>
  <si>
    <t>Retentionsvolumen</t>
  </si>
  <si>
    <t>Abbildung DA13</t>
  </si>
  <si>
    <t>Nr.</t>
  </si>
  <si>
    <t>Auswahltabellen</t>
  </si>
  <si>
    <t>Inhalt</t>
  </si>
  <si>
    <t>Zulässigkeit Versickerung</t>
  </si>
  <si>
    <t>Zuordnung</t>
  </si>
  <si>
    <t>Allgemein</t>
  </si>
  <si>
    <t>Bemessungsabfluss</t>
  </si>
  <si>
    <t>Kurzbezeichnung</t>
  </si>
  <si>
    <t>Korrekturfaktoren Gewässer</t>
  </si>
  <si>
    <t>Zulässigkeit Einleitung</t>
  </si>
  <si>
    <t>Dimensionierung der Retentionsanlage</t>
  </si>
  <si>
    <t>Zulässigkeitsprüfung für Einleitung</t>
  </si>
  <si>
    <t>Verlängerung der Regendauer in Abhängigkeit der Kanalnetz- resp. Strassenlänge</t>
  </si>
  <si>
    <t>Zuschlag eines pauschalen Sickerwasserzuflusses</t>
  </si>
  <si>
    <t>Alle Auswahltabellen für die Eingaben</t>
  </si>
  <si>
    <t>Ermittlung der Zulässigkeit für die Versickerung des nicht verschmutzten Strassenabwassers in Abhängigkeit des Gewässerschutzbereichs, Bodenpassage und Belastungsklasse</t>
  </si>
  <si>
    <t>Ermittlung des Sohlenfaktors fS in Abhängigkeit des Einleitverhältnisses und der Sohlenbeschaffung sowie Ermittlung des Gewässerfaktors fG in Abhängigkeit des Einleitverhältnisses und des Niedrigwasserabflusses Q347</t>
  </si>
  <si>
    <t>Ermittlung der Zulässigkeit (stofflich und hydraulisch) für die Einleitung des nicht verschmutzten Strassenabwassers in Abhängigkeit des Gewässertyps, des Einleitverhältnisses und der Belastungsklasse</t>
  </si>
  <si>
    <t>Ermittlung der massgebenden Regeninstensität in Abhängigkeit der Regenregion, Regendauer und Wiederkehrperiode</t>
  </si>
  <si>
    <t>Ermittlung weiterer Belastungspunkte (ergänzend zum DTV) in Abhängigkeit der Steigung, des Schwerverkehrs und der Lage (innerorts)</t>
  </si>
  <si>
    <t>Ermittlung des notwendigen Retentionsvolumens</t>
  </si>
  <si>
    <t>🏠 INDEX</t>
  </si>
  <si>
    <t>▶ 2</t>
  </si>
  <si>
    <t>▶ 3</t>
  </si>
  <si>
    <t>2 ◀</t>
  </si>
  <si>
    <t>1 ◀</t>
  </si>
  <si>
    <t>▶ 4</t>
  </si>
  <si>
    <t>▶ 5</t>
  </si>
  <si>
    <t>3 ◀</t>
  </si>
  <si>
    <t>▶ 6</t>
  </si>
  <si>
    <t>4 ◀</t>
  </si>
  <si>
    <t>5 ◀</t>
  </si>
  <si>
    <t>Tab. B13</t>
  </si>
  <si>
    <t>Tab. B14</t>
  </si>
  <si>
    <t>8 ◀</t>
  </si>
  <si>
    <t>3. Zulässigkeitsprüfung für Versickerung</t>
  </si>
  <si>
    <t>X-Koordinate</t>
  </si>
  <si>
    <t>Y-Koordinate</t>
  </si>
  <si>
    <t>Flurabstand</t>
  </si>
  <si>
    <t>(2'…)</t>
  </si>
  <si>
    <t>(1'…)</t>
  </si>
  <si>
    <t>Sickerleistung Boden</t>
  </si>
  <si>
    <t>Machbarkeit</t>
  </si>
  <si>
    <t>Zweck des Berechnungstools</t>
  </si>
  <si>
    <t>Geltungsbereich</t>
  </si>
  <si>
    <t>1. Bemessungsabfluss</t>
  </si>
  <si>
    <t>Das Strassenabwasser wird mittels Belastungspunkten klassiert. Die Intensität der Belastung des Strassenabwassers hängt von einer grossen Vielzahl von Faktoren ab, deren Einfluss auf die Belastung sehr unterschiedlich sein kann. Die Klassierung setzt sich zusammen aus einer Grundbelastung, basierend auf der Verkehrsfrequenz und verschiedenen Faktoren, welche diese Grundbelastung erhöhen oder vermindern können.</t>
  </si>
  <si>
    <t>5. Dimensionierung des Schlammsammlers</t>
  </si>
  <si>
    <t>4. Zulässigkeitsprüfung für Einleitung</t>
  </si>
  <si>
    <t>Strassentyp nach DTV</t>
  </si>
  <si>
    <t>[DTV]</t>
  </si>
  <si>
    <t>&lt; 2'000</t>
  </si>
  <si>
    <t>≥ 20'000</t>
  </si>
  <si>
    <t>≥ 10'000</t>
  </si>
  <si>
    <t>≥ 2'000</t>
  </si>
  <si>
    <t>Autobahn</t>
  </si>
  <si>
    <t>ASTRA</t>
  </si>
  <si>
    <t>Breite Belastungsstreifen</t>
  </si>
  <si>
    <t>Tabelle B10</t>
  </si>
  <si>
    <t>Versickerungsfläche</t>
  </si>
  <si>
    <t>Entwässerungsfläche zu</t>
  </si>
  <si>
    <t>l/min*m²</t>
  </si>
  <si>
    <t>Sickerleistung Oberboden</t>
  </si>
  <si>
    <t>Annahme ANU auf Basis VSA-Richtlinie</t>
  </si>
  <si>
    <t>Sickerleistung</t>
  </si>
  <si>
    <t>Ansatz</t>
  </si>
  <si>
    <t>[l/min*m²]</t>
  </si>
  <si>
    <t>[m³/ 5 min]</t>
  </si>
  <si>
    <t>Versickerungsleistung</t>
  </si>
  <si>
    <t>Hydrogeologische Voraussetzung bei Bodenpassage</t>
  </si>
  <si>
    <t>Oberboden 0.5-2 l/min pro m² (Kap 1.2 Modul DA)</t>
  </si>
  <si>
    <t>Furabstand</t>
  </si>
  <si>
    <t>Abfage</t>
  </si>
  <si>
    <t>nicht machbar</t>
  </si>
  <si>
    <t>machbar</t>
  </si>
  <si>
    <t>Modul DA, Kapitel 1.2</t>
  </si>
  <si>
    <t>Keine Ausscheidung</t>
  </si>
  <si>
    <t>Bagatellgrenze</t>
  </si>
  <si>
    <t>→</t>
  </si>
  <si>
    <t>▶ 7</t>
  </si>
  <si>
    <t>▶ 8</t>
  </si>
  <si>
    <t>6 ◀</t>
  </si>
  <si>
    <t>▶ 9</t>
  </si>
  <si>
    <t>7 ◀</t>
  </si>
  <si>
    <t>▶ 10</t>
  </si>
  <si>
    <t>9 ◀</t>
  </si>
  <si>
    <t>10 ◀</t>
  </si>
  <si>
    <t>▶ 12</t>
  </si>
  <si>
    <t>11 ◀</t>
  </si>
  <si>
    <t>▶ 13</t>
  </si>
  <si>
    <t>12 ◀</t>
  </si>
  <si>
    <t>▶ 11</t>
  </si>
  <si>
    <t>Das tatsächliche Retentionsvolumen ist über</t>
  </si>
  <si>
    <t>die Anlauf- und Fliesszeit zu ermitteln.</t>
  </si>
  <si>
    <t>Machbarkeit zentrale Versickerung</t>
  </si>
  <si>
    <t>Belastungsstreifen</t>
  </si>
  <si>
    <t>Beckenvolumen zentrale Versickerung</t>
  </si>
  <si>
    <t>Niederschlag</t>
  </si>
  <si>
    <t>Total Abfluss</t>
  </si>
  <si>
    <t>Beckenvolumen</t>
  </si>
  <si>
    <t>Die Dimensionierung erfolgt auf Basis der massgebenden Regendauer, sodass das Beckenvolumen nicht für Starkregen ausgelegt wird. Die massgebende Regendauer liegt je nach Strassenlänge zwischen 15 min und 25 min.</t>
  </si>
  <si>
    <t>6.Dimensionierung der Retentionsanlage</t>
  </si>
  <si>
    <t>Die zugrunde liegenden Regendaten sind nur bis zu Regendauern von 60 min ausgewertet. Extrapolationen über wesentlich längere Regendauern sind falsch, da die der SN 640 350 zugrunde liegende Formel nur für kürzere Regendauern verwendet werden kann.</t>
  </si>
  <si>
    <t>Versickerungsart</t>
  </si>
  <si>
    <t>dezentral</t>
  </si>
  <si>
    <t>zentral</t>
  </si>
  <si>
    <t>Verisckerungsart</t>
  </si>
  <si>
    <t>Anwendungshinweise</t>
  </si>
  <si>
    <r>
      <t xml:space="preserve">Das Berechnungstool ist in enger Zusammenarbeit zwischen dem Tiefbauamt GR und dem Amt für Natur und Umwelt GR entwickelt worden. Es ist nur für den Kanton Graubünden anwendbar. Für Nationalstrassen und Strassenentwässerungen im Zusammenhang mit Liegenschaftsentwässerungen / im Liegenschaftsbereich ist es eingeschränkt anwendbar. </t>
    </r>
    <r>
      <rPr>
        <sz val="11"/>
        <rFont val="Calibri"/>
        <family val="2"/>
        <scheme val="minor"/>
      </rPr>
      <t>Zur Leitungsdimensionierung ist dieses Tool nicht geeignet.</t>
    </r>
  </si>
  <si>
    <t>Zentraler Schlammsammler mit frostischerem Tauchbogen</t>
  </si>
  <si>
    <t>Leitungsgefälle (⊘)</t>
  </si>
  <si>
    <t>Steigung Strasse (⊘)</t>
  </si>
  <si>
    <t>Korrektur Leitungsgefälle</t>
  </si>
  <si>
    <t>Leitungsgefälle zwischen Leitungsbemessung nach Hörler</t>
  </si>
  <si>
    <t xml:space="preserve">Starke Differenz des Bemessungsabflusses durch das </t>
  </si>
  <si>
    <t>Leitungsgefälle</t>
  </si>
  <si>
    <t>Zunahme Abfluss durch Leitungsgefälle</t>
  </si>
  <si>
    <t>Gegenüberstellung des Bemessungsabflusses aus der</t>
  </si>
  <si>
    <t>Leitungsdimensionierung nach Hörler (Fliesszeitberechnung inkl.</t>
  </si>
  <si>
    <t>Leitungsgefälle) mit dem Bemessungsabfluss nach VSS 40 350</t>
  </si>
  <si>
    <t>für die Regenregion Alpen und den Wiederkehrperioden 1 und 5.</t>
  </si>
  <si>
    <t>&lt; 100</t>
  </si>
  <si>
    <t>100 - 1'000</t>
  </si>
  <si>
    <t>&gt; 1'000</t>
  </si>
  <si>
    <t>Projekt:</t>
  </si>
  <si>
    <t>Schacht:</t>
  </si>
  <si>
    <t>Die Listenrechnung nach Hörler wurde nur für Rohre mit DN 250</t>
  </si>
  <si>
    <t>vorgenommen, dabei wurde der Füllungsgrad des Rohres vernachlässigt.</t>
  </si>
  <si>
    <t>und Abflussermittlung nach VSS 40 350</t>
  </si>
  <si>
    <t>Der Bemessungsabfluss berechnet sich aus der Strassenoberfläche (Länge x Breite) sowie zusätzlichen an die Strassenentwässerung angeschlossene Flächen (z.B. Parkplätze). Der Abflusskoeffizient beträgt standardmässig 0.9 und die Wiederkehrperiode beträgt 1 Jahr oder in Gewässerschutzzonen und innerorts 5 Jahre. Die Strassenlänge wird mit der Kanalnetzlänge gleichgesetzt. Bei kombinierten Sicker- und Transportleitungen ist der Sickerwasseranfall ergänzend zu berücksichtigen. Es wurde angenommen, dass ca. 1 bis max. 3 l/s Sickerwasser pro 100 m Strassenlänge anfällt. 
Aufgrund von unterschiedlichen Bemessungsabflüssen für die Leitungsdimensionierung (auf Basis des Leitungsgefälles) und dem Bemessungsabfluss nach VSS 40 350 (ohne Berücksichtigung des Leitungsgefälles) wird in Abhängigkeit der Wiederkehrperiode und des Leitungsgefälles der Bemessungsabfluss nach VSS 40 350 angepasst. Durch Ungenauigkeiten bei der Herleitung dieser Korrektur wird auf 0.5 l/s gerundet.</t>
  </si>
  <si>
    <r>
      <t>Die Beurteilung der stofflichen Belastung erfolgt mittels einer Gegenüberstellung der Belastungsklasse des eingeleiteten Niederschlagsabwassers und dem hydraulischen Einleitverhältnis. Für Fliessgewässer ist der Niedrigwasserabfluss (Q347) massgebend</t>
    </r>
    <r>
      <rPr>
        <sz val="11"/>
        <rFont val="Calibri"/>
        <family val="2"/>
        <scheme val="minor"/>
      </rPr>
      <t>. Der Niedrigwasserabfluss kann aus einem Webservice abgelesen werden (Q13min), sofern die Koordinaten der geplanten Einleitstelle im Gewässer eingegeben werden. Sollten keine Daten verfügbar sein, kann der Niedrigwasserabfluss über ein Tool (Einzugsgebiet ermitteln) im GIS seitens TBA oder ANU angefordert werden.</t>
    </r>
    <r>
      <rPr>
        <sz val="11"/>
        <color theme="1"/>
        <rFont val="Calibri"/>
        <family val="2"/>
        <scheme val="minor"/>
      </rPr>
      <t xml:space="preserve">
Die Zulässigkeitsprüfung für die hydraulische Belastung basiert auf einer vereinfachten
Klassierung der oberirdischen Gewässer. Dadurch wird sie insbesondere der Empfindlichkeit von kleinen Fliessgewässern bzw. der darin lebenden Lebewesen und Lebensgemeinschaften auf hydraulische Belastung nur bedingt gerecht. Wo immer möglich wird deshalb empfohlen, die Empfindlichkeit bzgl. hydraulischer Belastung im Rahmen von übergeordneten Planungen durch Fachleute bestimmen zu lassen.
Eine Retention kann in der Regel erforderlich werden, wenn der eingeleitete Bemessungsabfluss grösser als der Niedrigwasserabfluss (Q347) ist. Bei Bemessungsabflüssen kleiner als 20 l/s kann auf eine Retention verzichtet werden (Bagatellgrenze).</t>
    </r>
  </si>
  <si>
    <t>▶ 14</t>
  </si>
  <si>
    <t>13 ◀</t>
  </si>
  <si>
    <t>Ermittlung der Korrektur des Bemessungsablfusses in Abängigkeit des druchschnittlichen Leitungsgefälles (Hörler-VSS)</t>
  </si>
  <si>
    <t>Ermittlung der Breite des Belastungsstreifens in Abhängigkeit des DTV</t>
  </si>
  <si>
    <t>Ermittlung der Machbarkeit einer zentralen Versickerung über den Oberboden in Abhängigkeit des Flurabstandes, der Sickerleistung des Oberbodens und einer allfälligen Behandlung des Strassenabwassers</t>
  </si>
  <si>
    <t>Definition der Sickerleistung des Oberbodens auf Basis VSA-Richlinie</t>
  </si>
  <si>
    <t>Ermittlung des notwendigen Beckenvolumens für eine zentrale Versickerung über den Oberboden</t>
  </si>
  <si>
    <t>Zentrale Versickerung über den Oberboden</t>
  </si>
  <si>
    <t>Dezentrale Versickerung über die Schulter / das Bankett</t>
  </si>
  <si>
    <t>Die Dimensionierung des zentralen Schlammsammlers erfolgt auf Basis der SN 592 000 mit einer Verweildauer von 30 s, einer Sinkgeschwindigkeit von 18 m/h und einem Schlammraum von 50 cm. Die Nutztiefe setzt sich aus Abscheide- und Schlammraum zusammen. Aufgrund der auf dem Markt erhältlichen Standardteile wird auf 25 cm gerundet. Zwecks Havarieschutz ist der zentrale Schlammsammler mit einem frostischeren Tauchbogen auszustatten (siehe Reiter "Skizze SS").</t>
  </si>
  <si>
    <r>
      <t xml:space="preserve">Die hellblau hinterlegten Felder sind leere Eingabefelder. Um unnötige Eingaben zu vermeiden, wird empfohlen die Eingaben von oben nach untern vorzunehmen. Das Berechnungstool hat zum Schutz vor dem unbeabsichtigtem Löschen von Formeln einen Passwortschutz. Das Passwort lautet: </t>
    </r>
    <r>
      <rPr>
        <b/>
        <sz val="11"/>
        <color theme="1"/>
        <rFont val="Calibri"/>
        <family val="2"/>
        <scheme val="minor"/>
      </rPr>
      <t xml:space="preserve">5TR4553
</t>
    </r>
    <r>
      <rPr>
        <sz val="11"/>
        <color theme="1"/>
        <rFont val="Calibri"/>
        <family val="2"/>
        <scheme val="minor"/>
      </rPr>
      <t xml:space="preserve">Da die angezeigte Breite der Zeilen und Spalten je nach Drucker variieren kann, muss bei Anzeigeproblemen nach vorgängiger Aufhebung des Blattschutzes die </t>
    </r>
    <r>
      <rPr>
        <b/>
        <sz val="11"/>
        <color theme="1"/>
        <rFont val="Calibri"/>
        <family val="2"/>
        <scheme val="minor"/>
      </rPr>
      <t>Breite der Zeilen und Spalten auf 20 Pixel eingestellt</t>
    </r>
    <r>
      <rPr>
        <sz val="11"/>
        <color theme="1"/>
        <rFont val="Calibri"/>
        <family val="2"/>
        <scheme val="minor"/>
      </rPr>
      <t xml:space="preserve"> werden.</t>
    </r>
  </si>
  <si>
    <t>Das Berechnungstool dient primär der Zulässigkeitsprüfung über die Entsorgung des Strassenabwassers gemäss der VSA-Richtlinie Abwasserbewirtschaftung bei Regenwetter (2019) sowie der Dimensionierung eines zentralen Schlammsammlers nach VSS und SN 592 000 (2012).</t>
  </si>
  <si>
    <r>
      <t xml:space="preserve">Die Eingabe von Koordinaten im Bereich des Kantons GR ermöglicht die Generierung eines Links zum genauen Standort der Strassenentwässerung resp. Versickerungsanlage, der direkt zum Mapservice der Gewässerschutzkarte führt. Für den Flurabstand ist nur ein allgemeiner Link zum Mapservice mit wenigen Daten möglich. Andere Datenquellen, wie z.B. Baggerschlitze und geologische Gutachten, sind zur Abschätzung des Flurabstandes heranzuziehen.
Die Zulässigkeitsprüfung für die Versickerung von Strassenabwasser ist abhängig von der Belastungsklasse und der Lage der Versickerungsstelle bezügich Gewässerschutzbereichen und Grundwasserschutzzonen resp. -arealen. Für Strassenabwasserversickerungen gilt der Bodenaufbau, insbesondere für zentrale Behandlungsanlagen, gemäss VSS 640 361.
Bei der </t>
    </r>
    <r>
      <rPr>
        <u/>
        <sz val="11"/>
        <rFont val="Calibri"/>
        <family val="2"/>
        <scheme val="minor"/>
      </rPr>
      <t>Versickerung über die Schulter / das Bankett</t>
    </r>
    <r>
      <rPr>
        <sz val="11"/>
        <rFont val="Calibri"/>
        <family val="2"/>
        <scheme val="minor"/>
      </rPr>
      <t xml:space="preserve"> sind vorzusehen:
Die Versickerungsfläche ist nach Möglichkeit auf den Belastungsstreifen zu beschränken, wobei grundsätzlich das Verhältnis Entwässerungs- zu Versickerungsfläche AE:AV ≤ 5:1 zu beachten ist.
Die Versickerung mit Schadstoffanreicherung auf privatem Kulturland ist zu vermeiden. Der Belastungsstreifen und die Versickerungsfläche sind möglichst zur Strassenparzelle zu schlagen. Andernfalls sind die Verantwortlichkeiten zwischen dem Strasseneigentümer und dem privaten Eigentümer des Versickerungsstreifens verbindlich zu regeln.
Bei einer </t>
    </r>
    <r>
      <rPr>
        <u/>
        <sz val="11"/>
        <rFont val="Calibri"/>
        <family val="2"/>
        <scheme val="minor"/>
      </rPr>
      <t>zentralen Versickerung über den Oberboden</t>
    </r>
    <r>
      <rPr>
        <sz val="11"/>
        <rFont val="Calibri"/>
        <family val="2"/>
        <scheme val="minor"/>
      </rPr>
      <t xml:space="preserve"> wird die Machbarkeit über den Flurabstand des Grundwasserspiegels bei Hochwasserstand (≥ 1 m) geprüft. Andere Faktoren, wie die Mächtigkeit der schlecht durchlässigen Deckschicht (ab ca. 4 m wird eine Versickerung unverhältnismässig) werden oder die Sickerfähigkeit des Untergrunds werden nicht geprüft. Bei Anlagen mit Bodenpassage ist, unter Voraussetzung eines genügend durchlässigen Untergrunds, die Sickerfähigkeit des Bodens der massgebende und limitierende Faktor. Einem locker eingebrachten Oberboden darf höchstens eine spezifische Versickerungsleistung von 0.5 - 2 l/min pro m² (gering bis hoch) zugemessen werden.
Das Beckenvolumen (Retentionsvolumen) ergibt sich aus der Versickerungsfläche, der Sickerfähigkeit des Oberbodens und dem Bemessungsabfluss, wobei die Böschung nicht als Versickerungsfläche berücksichtigt wird. Die Beckentiefe entspricht der Stauhöhe im Becken (Nutziefe). Das Beckensvolumen wird auf 0.5 m³ gerundet.
Die Dimensionierung erfolgt auf Basis der massgebenden Regendauer, sodass das Beckenvolumen nicht für Starkregen ausgelegt wird. Die massgebende Regendauer liegt je nach Strassenlänge zwischen 15 min und 25 min. Die zugrunde liegenden Regendaten sind nur bis zu Regendauern von 60 min ausgewertet. Extrapolationen über wesentlich längere Regendauern sind falsch, da die der SN 640 350 zugrunde liegende Formel nur für kürzere Regendauern verwendet werden kann. Für grosse Versickerungsanlagen muss die Dimensionierung zwingend mit einem detaillierten hydrologischen Modell und mithilfe einer Langzeit-Kontinuumssimulation vorgenommen werden.</t>
    </r>
  </si>
  <si>
    <r>
      <rPr>
        <sz val="11"/>
        <rFont val="Calibri"/>
        <family val="2"/>
        <scheme val="minor"/>
      </rPr>
      <t>Das Retentionsvolumen ergibt sich aus dem Bemessungsabfluss und der zulässigen Einleitmenge. Die zulässige Einleitmenge entspricht der Drossel im Ablauf der Retentionsanlage. Das Retentionsvolumen wird auf 0.5 m³ gerundet. Bei einer eingeleiteten Niederschlagsabwassermenge ≤ 20 l/s kann auf eine Retention verzichtet werden (Bagatellgrenze).</t>
    </r>
    <r>
      <rPr>
        <sz val="11"/>
        <color theme="1"/>
        <rFont val="Calibri"/>
        <family val="2"/>
        <scheme val="minor"/>
      </rPr>
      <t xml:space="preserve">
Die Dimensionierung erfolgt auf Basis der massgebenden Regendauer, sodass das Retetionsvolumen nicht für Starkregen ausgelegt wird. Die massgebende Regendauer liegt je nach Strassenlänge zwischen 15 min und 25 min. Die zugrunde liegenden Regendaten sind nur bis zu Regendauern von 60 min ausgewertet. Extrapolationen über wesentlich längere Regendauern sind falsch, da die der SN 640 350 zugrunde liegende Formel nur für kürzere Regendauern verwendet werden kann. Für grosse Retentionsanlagen muss die Dimensionierung zwingend mit einem detaillierten hydrologischen Modell und mithilfe einer Langzeit-Kontinuumssimulation vorgenommen werden.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</si>
</sst>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22" x14ac:knownFonts="1">
    <font>
      <sz val="11"/>
      <color theme="1"/>
      <name val="Arial"/>
      <family val="2"/>
    </font>
    <font>
      <u/>
      <sz val="11"/>
      <color theme="10"/>
      <name val="Arial"/>
      <family val="2"/>
    </font>
    <font>
      <sz val="11"/>
      <color theme="1"/>
      <name val="Calibri"/>
      <family val="2"/>
      <scheme val="minor"/>
    </font>
    <font>
      <b/>
      <sz val="11"/>
      <color theme="1"/>
      <name val="Calibri"/>
      <family val="2"/>
      <scheme val="minor"/>
    </font>
    <font>
      <sz val="11"/>
      <color rgb="FFFF0000"/>
      <name val="Calibri"/>
      <family val="2"/>
      <scheme val="minor"/>
    </font>
    <font>
      <b/>
      <sz val="10"/>
      <color theme="0"/>
      <name val="Calibri"/>
      <family val="2"/>
      <scheme val="minor"/>
    </font>
    <font>
      <b/>
      <sz val="11"/>
      <color theme="0"/>
      <name val="Calibri"/>
      <family val="2"/>
      <scheme val="minor"/>
    </font>
    <font>
      <sz val="11"/>
      <name val="Calibri"/>
      <family val="2"/>
      <scheme val="minor"/>
    </font>
    <font>
      <sz val="11"/>
      <color theme="0" tint="-0.249977111117893"/>
      <name val="Calibri"/>
      <family val="2"/>
      <scheme val="minor"/>
    </font>
    <font>
      <u/>
      <sz val="11"/>
      <color rgb="FF00B0F0"/>
      <name val="Calibri"/>
      <family val="2"/>
      <scheme val="minor"/>
    </font>
    <font>
      <i/>
      <sz val="11"/>
      <name val="Calibri"/>
      <family val="2"/>
      <scheme val="minor"/>
    </font>
    <font>
      <i/>
      <sz val="11"/>
      <color theme="1"/>
      <name val="Calibri"/>
      <family val="2"/>
      <scheme val="minor"/>
    </font>
    <font>
      <b/>
      <u/>
      <sz val="11"/>
      <color theme="0"/>
      <name val="Calibri"/>
      <family val="2"/>
      <scheme val="minor"/>
    </font>
    <font>
      <b/>
      <sz val="10"/>
      <color theme="1"/>
      <name val="Calibri"/>
      <family val="2"/>
      <scheme val="minor"/>
    </font>
    <font>
      <b/>
      <u/>
      <sz val="12"/>
      <color theme="0"/>
      <name val="Calibri"/>
      <family val="2"/>
      <scheme val="minor"/>
    </font>
    <font>
      <sz val="11"/>
      <color theme="10"/>
      <name val="Calibri"/>
      <family val="2"/>
      <scheme val="minor"/>
    </font>
    <font>
      <strike/>
      <sz val="11"/>
      <color theme="1"/>
      <name val="Calibri"/>
      <family val="2"/>
      <scheme val="minor"/>
    </font>
    <font>
      <u/>
      <sz val="11"/>
      <name val="Calibri"/>
      <family val="2"/>
      <scheme val="minor"/>
    </font>
    <font>
      <sz val="11"/>
      <color rgb="FF00B0F0"/>
      <name val="Calibri"/>
      <family val="2"/>
      <scheme val="minor"/>
    </font>
    <font>
      <b/>
      <sz val="11"/>
      <name val="Calibri"/>
      <family val="2"/>
      <scheme val="minor"/>
    </font>
    <font>
      <b/>
      <sz val="11"/>
      <color theme="0" tint="-0.249977111117893"/>
      <name val="Calibri"/>
      <family val="2"/>
      <scheme val="minor"/>
    </font>
    <font>
      <sz val="11"/>
      <color theme="1"/>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7"/>
        <bgColor indexed="64"/>
      </patternFill>
    </fill>
    <fill>
      <patternFill patternType="solid">
        <fgColor theme="5"/>
        <bgColor indexed="64"/>
      </patternFill>
    </fill>
    <fill>
      <patternFill patternType="solid">
        <fgColor theme="9"/>
        <bgColor indexed="64"/>
      </patternFill>
    </fill>
    <fill>
      <patternFill patternType="gray0625">
        <bgColor theme="0"/>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theme="0"/>
      </right>
      <top style="thin">
        <color theme="0"/>
      </top>
      <bottom style="thin">
        <color theme="0"/>
      </bottom>
      <diagonal/>
    </border>
    <border>
      <left/>
      <right/>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theme="0"/>
      </left>
      <right style="thin">
        <color theme="0"/>
      </right>
      <top style="thin">
        <color theme="0"/>
      </top>
      <bottom style="thin">
        <color theme="0"/>
      </bottom>
      <diagonal/>
    </border>
    <border>
      <left style="hair">
        <color theme="4"/>
      </left>
      <right/>
      <top style="hair">
        <color theme="4"/>
      </top>
      <bottom/>
      <diagonal/>
    </border>
    <border>
      <left/>
      <right/>
      <top style="hair">
        <color theme="4"/>
      </top>
      <bottom/>
      <diagonal/>
    </border>
    <border>
      <left/>
      <right style="hair">
        <color theme="4"/>
      </right>
      <top style="hair">
        <color theme="4"/>
      </top>
      <bottom/>
      <diagonal/>
    </border>
    <border>
      <left style="hair">
        <color theme="4"/>
      </left>
      <right/>
      <top/>
      <bottom/>
      <diagonal/>
    </border>
    <border>
      <left/>
      <right style="hair">
        <color theme="4"/>
      </right>
      <top/>
      <bottom/>
      <diagonal/>
    </border>
    <border>
      <left style="hair">
        <color theme="4"/>
      </left>
      <right/>
      <top/>
      <bottom style="hair">
        <color theme="4"/>
      </bottom>
      <diagonal/>
    </border>
    <border>
      <left/>
      <right/>
      <top/>
      <bottom style="hair">
        <color theme="4"/>
      </bottom>
      <diagonal/>
    </border>
    <border>
      <left style="thin">
        <color theme="0"/>
      </left>
      <right/>
      <top style="thin">
        <color theme="0"/>
      </top>
      <bottom style="hair">
        <color theme="4"/>
      </bottom>
      <diagonal/>
    </border>
    <border>
      <left/>
      <right/>
      <top style="thin">
        <color theme="0"/>
      </top>
      <bottom style="hair">
        <color theme="4"/>
      </bottom>
      <diagonal/>
    </border>
    <border>
      <left/>
      <right style="thin">
        <color theme="0"/>
      </right>
      <top style="thin">
        <color theme="0"/>
      </top>
      <bottom style="hair">
        <color theme="4"/>
      </bottom>
      <diagonal/>
    </border>
    <border>
      <left/>
      <right style="hair">
        <color theme="4"/>
      </right>
      <top/>
      <bottom style="hair">
        <color theme="4"/>
      </bottom>
      <diagonal/>
    </border>
    <border>
      <left style="thin">
        <color theme="0"/>
      </left>
      <right style="thin">
        <color indexed="64"/>
      </right>
      <top style="thin">
        <color theme="0"/>
      </top>
      <bottom style="hair">
        <color theme="4"/>
      </bottom>
      <diagonal/>
    </border>
    <border>
      <left style="thin">
        <color indexed="64"/>
      </left>
      <right style="thin">
        <color indexed="64"/>
      </right>
      <top style="thin">
        <color theme="0"/>
      </top>
      <bottom style="hair">
        <color theme="4"/>
      </bottom>
      <diagonal/>
    </border>
    <border>
      <left style="thin">
        <color indexed="64"/>
      </left>
      <right style="thin">
        <color theme="0"/>
      </right>
      <top style="thin">
        <color theme="0"/>
      </top>
      <bottom style="hair">
        <color theme="4"/>
      </bottom>
      <diagonal/>
    </border>
    <border>
      <left style="thin">
        <color theme="0"/>
      </left>
      <right style="thin">
        <color theme="0"/>
      </right>
      <top style="thin">
        <color theme="0"/>
      </top>
      <bottom/>
      <diagonal/>
    </border>
    <border>
      <left style="hair">
        <color theme="4"/>
      </left>
      <right/>
      <top style="hair">
        <color theme="4"/>
      </top>
      <bottom style="hair">
        <color theme="4"/>
      </bottom>
      <diagonal/>
    </border>
    <border>
      <left/>
      <right/>
      <top style="hair">
        <color theme="4"/>
      </top>
      <bottom style="hair">
        <color theme="4"/>
      </bottom>
      <diagonal/>
    </border>
    <border>
      <left/>
      <right style="hair">
        <color theme="4"/>
      </right>
      <top style="hair">
        <color theme="4"/>
      </top>
      <bottom style="hair">
        <color theme="4"/>
      </bottom>
      <diagonal/>
    </border>
    <border>
      <left/>
      <right style="hair">
        <color theme="0"/>
      </right>
      <top/>
      <bottom/>
      <diagonal/>
    </border>
    <border>
      <left style="hair">
        <color theme="0"/>
      </left>
      <right/>
      <top/>
      <bottom/>
      <diagonal/>
    </border>
    <border>
      <left/>
      <right style="thin">
        <color theme="0"/>
      </right>
      <top/>
      <bottom/>
      <diagonal/>
    </border>
    <border>
      <left/>
      <right style="thin">
        <color theme="0"/>
      </right>
      <top/>
      <bottom style="hair">
        <color theme="4"/>
      </bottom>
      <diagonal/>
    </border>
  </borders>
  <cellStyleXfs count="3">
    <xf numFmtId="0" fontId="0" fillId="0" borderId="0"/>
    <xf numFmtId="0" fontId="1" fillId="0" borderId="0" applyNumberFormat="0" applyFill="0" applyBorder="0" applyAlignment="0" applyProtection="0"/>
    <xf numFmtId="9" fontId="21" fillId="0" borderId="0" applyFont="0" applyFill="0" applyBorder="0" applyAlignment="0" applyProtection="0"/>
  </cellStyleXfs>
  <cellXfs count="336">
    <xf numFmtId="0" fontId="0" fillId="0" borderId="0" xfId="0"/>
    <xf numFmtId="0" fontId="2" fillId="3" borderId="0" xfId="0" applyFont="1" applyFill="1"/>
    <xf numFmtId="0" fontId="2" fillId="3" borderId="0" xfId="0" applyFont="1" applyFill="1" applyBorder="1"/>
    <xf numFmtId="0" fontId="4" fillId="3" borderId="0" xfId="0" applyFont="1" applyFill="1" applyBorder="1"/>
    <xf numFmtId="0" fontId="6" fillId="6" borderId="0" xfId="0" applyFont="1" applyFill="1" applyBorder="1"/>
    <xf numFmtId="0" fontId="2" fillId="3" borderId="27" xfId="0" applyFont="1" applyFill="1" applyBorder="1" applyAlignment="1">
      <alignment horizontal="left" indent="1"/>
    </xf>
    <xf numFmtId="0" fontId="2" fillId="3" borderId="28" xfId="0" applyFont="1" applyFill="1" applyBorder="1"/>
    <xf numFmtId="0" fontId="2" fillId="3" borderId="29" xfId="0" applyFont="1" applyFill="1" applyBorder="1"/>
    <xf numFmtId="0" fontId="2" fillId="3" borderId="27" xfId="0" applyFont="1" applyFill="1" applyBorder="1"/>
    <xf numFmtId="0" fontId="2" fillId="3" borderId="30" xfId="0" applyFont="1" applyFill="1" applyBorder="1" applyAlignment="1">
      <alignment horizontal="left" indent="1"/>
    </xf>
    <xf numFmtId="0" fontId="2" fillId="3" borderId="31" xfId="0" applyFont="1" applyFill="1" applyBorder="1"/>
    <xf numFmtId="0" fontId="7" fillId="3" borderId="0" xfId="0" applyFont="1" applyFill="1" applyBorder="1"/>
    <xf numFmtId="0" fontId="2" fillId="3" borderId="30" xfId="0" applyFont="1" applyFill="1" applyBorder="1"/>
    <xf numFmtId="0" fontId="2" fillId="3" borderId="13" xfId="0" applyFont="1" applyFill="1" applyBorder="1" applyAlignment="1"/>
    <xf numFmtId="0" fontId="2" fillId="3" borderId="0" xfId="0" applyFont="1" applyFill="1" applyBorder="1" applyAlignment="1"/>
    <xf numFmtId="0" fontId="2" fillId="3" borderId="32" xfId="0" applyFont="1" applyFill="1" applyBorder="1" applyAlignment="1">
      <alignment horizontal="left" indent="1"/>
    </xf>
    <xf numFmtId="0" fontId="2" fillId="3" borderId="33" xfId="0" applyFont="1" applyFill="1" applyBorder="1"/>
    <xf numFmtId="0" fontId="2" fillId="3" borderId="37" xfId="0" applyFont="1" applyFill="1" applyBorder="1"/>
    <xf numFmtId="0" fontId="3" fillId="3" borderId="32" xfId="0" applyFont="1" applyFill="1" applyBorder="1"/>
    <xf numFmtId="0" fontId="3" fillId="3" borderId="33" xfId="0" applyFont="1" applyFill="1" applyBorder="1"/>
    <xf numFmtId="0" fontId="3" fillId="3" borderId="37" xfId="0" applyFont="1" applyFill="1" applyBorder="1"/>
    <xf numFmtId="0" fontId="2" fillId="3" borderId="32" xfId="0" applyFont="1" applyFill="1" applyBorder="1"/>
    <xf numFmtId="0" fontId="2" fillId="3" borderId="0" xfId="0" applyFont="1" applyFill="1" applyBorder="1" applyAlignment="1">
      <alignment horizontal="right" indent="1"/>
    </xf>
    <xf numFmtId="0" fontId="2" fillId="3" borderId="0" xfId="0" applyFont="1" applyFill="1" applyAlignment="1">
      <alignment horizontal="left" indent="1"/>
    </xf>
    <xf numFmtId="4" fontId="2" fillId="3" borderId="0" xfId="0" applyNumberFormat="1" applyFont="1" applyFill="1" applyBorder="1" applyAlignment="1">
      <alignment horizontal="right" indent="1"/>
    </xf>
    <xf numFmtId="0" fontId="7" fillId="3" borderId="0" xfId="0" applyFont="1" applyFill="1" applyAlignment="1">
      <alignment horizontal="left" indent="1"/>
    </xf>
    <xf numFmtId="4" fontId="6" fillId="6" borderId="0" xfId="0" applyNumberFormat="1" applyFont="1" applyFill="1" applyBorder="1" applyAlignment="1">
      <alignment horizontal="right" indent="1"/>
    </xf>
    <xf numFmtId="0" fontId="8" fillId="3" borderId="0" xfId="0" applyFont="1" applyFill="1"/>
    <xf numFmtId="0" fontId="8" fillId="3" borderId="0" xfId="0" applyFont="1" applyFill="1" applyBorder="1"/>
    <xf numFmtId="0" fontId="4" fillId="3" borderId="0" xfId="0" applyFont="1" applyFill="1"/>
    <xf numFmtId="0" fontId="7" fillId="3" borderId="30" xfId="0" applyFont="1" applyFill="1" applyBorder="1" applyAlignment="1">
      <alignment horizontal="left" indent="1"/>
    </xf>
    <xf numFmtId="0" fontId="8" fillId="3" borderId="31" xfId="0" applyFont="1" applyFill="1" applyBorder="1"/>
    <xf numFmtId="0" fontId="7" fillId="3" borderId="30" xfId="0" applyFont="1" applyFill="1" applyBorder="1"/>
    <xf numFmtId="0" fontId="8" fillId="3" borderId="33" xfId="0" applyFont="1" applyFill="1" applyBorder="1"/>
    <xf numFmtId="0" fontId="7" fillId="3" borderId="33" xfId="0" applyFont="1" applyFill="1" applyBorder="1"/>
    <xf numFmtId="0" fontId="8" fillId="3" borderId="37" xfId="0" applyFont="1" applyFill="1" applyBorder="1"/>
    <xf numFmtId="0" fontId="10" fillId="3" borderId="0" xfId="0" applyFont="1" applyFill="1" applyAlignment="1">
      <alignment horizontal="left" indent="1"/>
    </xf>
    <xf numFmtId="4" fontId="8" fillId="3" borderId="0" xfId="0" applyNumberFormat="1" applyFont="1" applyFill="1" applyBorder="1" applyAlignment="1">
      <alignment horizontal="right" indent="1"/>
    </xf>
    <xf numFmtId="0" fontId="11" fillId="3" borderId="0" xfId="0" applyFont="1" applyFill="1" applyAlignment="1">
      <alignment horizontal="left" indent="1"/>
    </xf>
    <xf numFmtId="0" fontId="2" fillId="3" borderId="0" xfId="0" applyFont="1" applyFill="1" applyBorder="1" applyAlignment="1">
      <alignment horizontal="left"/>
    </xf>
    <xf numFmtId="0" fontId="2" fillId="3" borderId="0" xfId="0" applyFont="1" applyFill="1" applyAlignment="1">
      <alignment horizontal="right" indent="1"/>
    </xf>
    <xf numFmtId="165" fontId="2" fillId="3" borderId="0" xfId="0" applyNumberFormat="1" applyFont="1" applyFill="1" applyBorder="1" applyAlignment="1">
      <alignment horizontal="right" indent="1"/>
    </xf>
    <xf numFmtId="0" fontId="2" fillId="3" borderId="0" xfId="0" applyFont="1" applyFill="1" applyProtection="1"/>
    <xf numFmtId="0" fontId="2" fillId="3" borderId="0" xfId="0" applyFont="1" applyFill="1" applyAlignment="1" applyProtection="1">
      <alignment horizontal="left" vertical="top" wrapText="1"/>
    </xf>
    <xf numFmtId="0" fontId="2" fillId="3" borderId="0" xfId="0" applyFont="1" applyFill="1" applyAlignment="1" applyProtection="1">
      <alignment horizontal="center" vertical="top" wrapText="1"/>
    </xf>
    <xf numFmtId="0" fontId="6" fillId="6" borderId="0" xfId="0" applyFont="1" applyFill="1" applyBorder="1" applyAlignment="1">
      <alignment horizontal="left" indent="1"/>
    </xf>
    <xf numFmtId="0" fontId="2" fillId="3" borderId="0" xfId="0" applyFont="1" applyFill="1" applyAlignment="1">
      <alignment vertical="top"/>
    </xf>
    <xf numFmtId="0" fontId="2" fillId="3" borderId="0" xfId="0" applyFont="1" applyFill="1" applyAlignment="1"/>
    <xf numFmtId="0" fontId="3" fillId="3" borderId="0" xfId="0" applyFont="1" applyFill="1" applyAlignment="1"/>
    <xf numFmtId="0" fontId="3" fillId="3" borderId="0" xfId="0" applyFont="1" applyFill="1"/>
    <xf numFmtId="0" fontId="2" fillId="0" borderId="0" xfId="0" applyFont="1"/>
    <xf numFmtId="0" fontId="7" fillId="3" borderId="0" xfId="0" applyFont="1" applyFill="1"/>
    <xf numFmtId="0" fontId="2" fillId="3" borderId="7" xfId="0" applyFont="1" applyFill="1" applyBorder="1"/>
    <xf numFmtId="0" fontId="3" fillId="3" borderId="0" xfId="0" applyFont="1" applyFill="1" applyProtection="1"/>
    <xf numFmtId="0" fontId="3" fillId="3" borderId="0" xfId="0" applyFont="1" applyFill="1" applyAlignment="1" applyProtection="1">
      <alignment horizontal="left" vertical="top"/>
    </xf>
    <xf numFmtId="0" fontId="4" fillId="3" borderId="0" xfId="0" applyFont="1" applyFill="1" applyAlignment="1" applyProtection="1">
      <alignment horizontal="left" vertical="top" wrapText="1"/>
    </xf>
    <xf numFmtId="0" fontId="2" fillId="3" borderId="28" xfId="0" applyFont="1" applyFill="1" applyBorder="1" applyAlignment="1">
      <alignment horizontal="right" indent="1"/>
    </xf>
    <xf numFmtId="0" fontId="2" fillId="3" borderId="33" xfId="0" applyFont="1" applyFill="1" applyBorder="1" applyAlignment="1">
      <alignment horizontal="right" indent="1"/>
    </xf>
    <xf numFmtId="0" fontId="7" fillId="3" borderId="31" xfId="0" applyFont="1" applyFill="1" applyBorder="1"/>
    <xf numFmtId="0" fontId="9" fillId="3" borderId="0" xfId="0" applyFont="1" applyFill="1" applyBorder="1" applyAlignment="1">
      <alignment horizontal="left"/>
    </xf>
    <xf numFmtId="0" fontId="9" fillId="3" borderId="31" xfId="0" applyFont="1" applyFill="1" applyBorder="1" applyAlignment="1">
      <alignment horizontal="left"/>
    </xf>
    <xf numFmtId="0" fontId="7" fillId="3" borderId="0" xfId="0" applyFont="1" applyFill="1" applyAlignment="1">
      <alignment horizontal="left" vertical="center"/>
    </xf>
    <xf numFmtId="0" fontId="7" fillId="3" borderId="0" xfId="0" applyFont="1" applyFill="1" applyBorder="1" applyAlignment="1">
      <alignment horizontal="left"/>
    </xf>
    <xf numFmtId="0" fontId="5" fillId="6" borderId="0" xfId="0" applyFont="1" applyFill="1" applyBorder="1"/>
    <xf numFmtId="0" fontId="14" fillId="6" borderId="0" xfId="0" applyFont="1" applyFill="1" applyBorder="1"/>
    <xf numFmtId="0" fontId="12" fillId="6" borderId="0" xfId="0" applyFont="1" applyFill="1" applyBorder="1"/>
    <xf numFmtId="2" fontId="2" fillId="3" borderId="13" xfId="0" applyNumberFormat="1" applyFont="1" applyFill="1" applyBorder="1" applyAlignment="1"/>
    <xf numFmtId="2" fontId="2" fillId="3" borderId="0" xfId="0" applyNumberFormat="1" applyFont="1" applyFill="1" applyBorder="1" applyAlignment="1"/>
    <xf numFmtId="0" fontId="2" fillId="4" borderId="16" xfId="0" applyFont="1" applyFill="1" applyBorder="1" applyAlignment="1">
      <alignment horizontal="left" indent="1"/>
    </xf>
    <xf numFmtId="0" fontId="0" fillId="3" borderId="0" xfId="0" applyFill="1"/>
    <xf numFmtId="0" fontId="7" fillId="3" borderId="32" xfId="0" applyFont="1" applyFill="1" applyBorder="1" applyAlignment="1">
      <alignment horizontal="left" indent="1"/>
    </xf>
    <xf numFmtId="0" fontId="7" fillId="3" borderId="27" xfId="0" applyFont="1" applyFill="1" applyBorder="1" applyAlignment="1">
      <alignment horizontal="left" indent="1"/>
    </xf>
    <xf numFmtId="0" fontId="7" fillId="3" borderId="28" xfId="0" applyFont="1" applyFill="1" applyBorder="1"/>
    <xf numFmtId="0" fontId="17" fillId="3" borderId="28" xfId="0" applyFont="1" applyFill="1" applyBorder="1" applyAlignment="1">
      <alignment horizontal="left"/>
    </xf>
    <xf numFmtId="0" fontId="8" fillId="3" borderId="28" xfId="0" applyFont="1" applyFill="1" applyBorder="1"/>
    <xf numFmtId="0" fontId="7" fillId="3" borderId="28" xfId="0" applyFont="1" applyFill="1" applyBorder="1" applyAlignment="1">
      <alignment horizontal="right" indent="1"/>
    </xf>
    <xf numFmtId="0" fontId="8" fillId="3" borderId="29" xfId="0" applyFont="1" applyFill="1" applyBorder="1"/>
    <xf numFmtId="0" fontId="7" fillId="3" borderId="42" xfId="0" applyFont="1" applyFill="1" applyBorder="1" applyAlignment="1">
      <alignment horizontal="left" indent="1"/>
    </xf>
    <xf numFmtId="0" fontId="7" fillId="3" borderId="43" xfId="0" applyFont="1" applyFill="1" applyBorder="1"/>
    <xf numFmtId="0" fontId="17" fillId="3" borderId="43" xfId="0" applyFont="1" applyFill="1" applyBorder="1" applyAlignment="1">
      <alignment horizontal="left"/>
    </xf>
    <xf numFmtId="0" fontId="2" fillId="3" borderId="43" xfId="0" applyFont="1" applyFill="1" applyBorder="1"/>
    <xf numFmtId="0" fontId="8" fillId="3" borderId="43" xfId="0" applyFont="1" applyFill="1" applyBorder="1"/>
    <xf numFmtId="0" fontId="8" fillId="3" borderId="44" xfId="0" applyFont="1" applyFill="1" applyBorder="1"/>
    <xf numFmtId="0" fontId="2" fillId="4" borderId="16" xfId="0" applyFont="1" applyFill="1" applyBorder="1" applyAlignment="1"/>
    <xf numFmtId="0" fontId="2" fillId="3" borderId="0" xfId="0" applyFont="1" applyFill="1" applyAlignment="1" applyProtection="1">
      <alignment horizontal="left" vertical="top" wrapText="1"/>
    </xf>
    <xf numFmtId="0" fontId="2" fillId="3" borderId="0" xfId="0" applyFont="1" applyFill="1" applyBorder="1" applyAlignment="1">
      <alignment horizontal="center"/>
    </xf>
    <xf numFmtId="2" fontId="2" fillId="3" borderId="0" xfId="0" applyNumberFormat="1" applyFont="1" applyFill="1" applyBorder="1" applyAlignment="1">
      <alignment horizontal="center"/>
    </xf>
    <xf numFmtId="164" fontId="2" fillId="3" borderId="0" xfId="0" applyNumberFormat="1" applyFont="1" applyFill="1" applyBorder="1" applyAlignment="1">
      <alignment horizontal="center"/>
    </xf>
    <xf numFmtId="0" fontId="7" fillId="3" borderId="33" xfId="0" applyFont="1" applyFill="1" applyBorder="1" applyAlignment="1">
      <alignment horizontal="right" indent="1"/>
    </xf>
    <xf numFmtId="0" fontId="2" fillId="3" borderId="0" xfId="0" applyFont="1" applyFill="1" applyAlignment="1" applyProtection="1">
      <alignment horizontal="left" vertical="top" wrapText="1"/>
    </xf>
    <xf numFmtId="0" fontId="7" fillId="3" borderId="33" xfId="0" applyFont="1" applyFill="1" applyBorder="1" applyAlignment="1">
      <alignment horizontal="left"/>
    </xf>
    <xf numFmtId="0" fontId="6" fillId="6" borderId="45" xfId="0" applyFont="1" applyFill="1" applyBorder="1"/>
    <xf numFmtId="0" fontId="6" fillId="6" borderId="46" xfId="0" applyFont="1" applyFill="1" applyBorder="1" applyAlignment="1">
      <alignment horizontal="left" indent="1"/>
    </xf>
    <xf numFmtId="0" fontId="20" fillId="3" borderId="33" xfId="0" applyFont="1" applyFill="1" applyBorder="1"/>
    <xf numFmtId="0" fontId="7" fillId="3" borderId="0" xfId="0" quotePrefix="1" applyFont="1" applyFill="1"/>
    <xf numFmtId="0" fontId="17" fillId="3" borderId="33" xfId="0" applyFont="1" applyFill="1" applyBorder="1" applyAlignment="1">
      <alignment horizontal="left"/>
    </xf>
    <xf numFmtId="0" fontId="2" fillId="3" borderId="0" xfId="0" applyFont="1" applyFill="1" applyAlignment="1" applyProtection="1">
      <alignment horizontal="left" vertical="top" wrapText="1"/>
    </xf>
    <xf numFmtId="4" fontId="7" fillId="3" borderId="0" xfId="0" applyNumberFormat="1" applyFont="1" applyFill="1" applyBorder="1" applyAlignment="1" applyProtection="1">
      <alignment horizontal="right" indent="1"/>
      <protection locked="0"/>
    </xf>
    <xf numFmtId="0" fontId="19" fillId="3" borderId="0" xfId="0" applyFont="1" applyFill="1"/>
    <xf numFmtId="0" fontId="4" fillId="3" borderId="28" xfId="0" applyFont="1" applyFill="1" applyBorder="1"/>
    <xf numFmtId="0" fontId="19" fillId="3" borderId="0" xfId="0" applyFont="1" applyFill="1" applyBorder="1"/>
    <xf numFmtId="0" fontId="2" fillId="3" borderId="47" xfId="0" applyFont="1" applyFill="1" applyBorder="1"/>
    <xf numFmtId="0" fontId="2" fillId="3" borderId="48" xfId="0" applyFont="1" applyFill="1" applyBorder="1"/>
    <xf numFmtId="0" fontId="2" fillId="3" borderId="0" xfId="0" applyFont="1" applyFill="1" applyBorder="1" applyAlignment="1">
      <alignment horizontal="center"/>
    </xf>
    <xf numFmtId="2" fontId="7" fillId="3" borderId="0" xfId="0" applyNumberFormat="1" applyFont="1" applyFill="1" applyAlignment="1">
      <alignment horizontal="right" indent="1"/>
    </xf>
    <xf numFmtId="0" fontId="1" fillId="3" borderId="0" xfId="1" applyFill="1" applyBorder="1"/>
    <xf numFmtId="165" fontId="2" fillId="3" borderId="28" xfId="0" applyNumberFormat="1" applyFont="1" applyFill="1" applyBorder="1" applyAlignment="1">
      <alignment horizontal="right" indent="1"/>
    </xf>
    <xf numFmtId="0" fontId="7" fillId="3" borderId="0" xfId="0" applyFont="1" applyFill="1" applyBorder="1" applyAlignment="1">
      <alignment horizontal="right" indent="1"/>
    </xf>
    <xf numFmtId="2" fontId="7" fillId="3" borderId="0" xfId="0" applyNumberFormat="1" applyFont="1" applyFill="1" applyBorder="1" applyAlignment="1">
      <alignment horizontal="right" indent="1"/>
    </xf>
    <xf numFmtId="165" fontId="2" fillId="0" borderId="33" xfId="0" applyNumberFormat="1" applyFont="1" applyFill="1" applyBorder="1" applyAlignment="1">
      <alignment horizontal="right" indent="1"/>
    </xf>
    <xf numFmtId="0" fontId="2" fillId="3" borderId="28" xfId="0" applyFont="1" applyFill="1" applyBorder="1" applyAlignment="1">
      <alignment horizontal="right" indent="1"/>
    </xf>
    <xf numFmtId="2" fontId="2" fillId="3" borderId="0" xfId="0" applyNumberFormat="1" applyFont="1" applyFill="1" applyBorder="1" applyAlignment="1">
      <alignment horizontal="right" indent="1"/>
    </xf>
    <xf numFmtId="0" fontId="2" fillId="3" borderId="0" xfId="0" applyFont="1" applyFill="1" applyBorder="1" applyAlignment="1">
      <alignment horizontal="right" indent="1"/>
    </xf>
    <xf numFmtId="2" fontId="2" fillId="3" borderId="33" xfId="0" applyNumberFormat="1" applyFont="1" applyFill="1" applyBorder="1" applyAlignment="1">
      <alignment horizontal="right" indent="1"/>
    </xf>
    <xf numFmtId="165" fontId="2" fillId="5" borderId="19" xfId="0" applyNumberFormat="1" applyFont="1" applyFill="1" applyBorder="1" applyAlignment="1" applyProtection="1">
      <alignment horizontal="right" indent="1"/>
      <protection locked="0"/>
    </xf>
    <xf numFmtId="165" fontId="2" fillId="5" borderId="18" xfId="0" applyNumberFormat="1" applyFont="1" applyFill="1" applyBorder="1" applyAlignment="1" applyProtection="1">
      <alignment horizontal="right" indent="1"/>
      <protection locked="0"/>
    </xf>
    <xf numFmtId="165" fontId="2" fillId="5" borderId="20" xfId="0" applyNumberFormat="1" applyFont="1" applyFill="1" applyBorder="1" applyAlignment="1" applyProtection="1">
      <alignment horizontal="right" indent="1"/>
      <protection locked="0"/>
    </xf>
    <xf numFmtId="3" fontId="7" fillId="5" borderId="26" xfId="0" applyNumberFormat="1" applyFont="1" applyFill="1" applyBorder="1" applyAlignment="1" applyProtection="1">
      <alignment horizontal="right" indent="1"/>
      <protection locked="0"/>
    </xf>
    <xf numFmtId="0" fontId="2" fillId="5" borderId="19" xfId="0" applyFont="1" applyFill="1" applyBorder="1" applyAlignment="1" applyProtection="1">
      <alignment horizontal="right" indent="1"/>
      <protection locked="0"/>
    </xf>
    <xf numFmtId="0" fontId="2" fillId="5" borderId="18" xfId="0" applyFont="1" applyFill="1" applyBorder="1" applyAlignment="1" applyProtection="1">
      <alignment horizontal="right" indent="1"/>
      <protection locked="0"/>
    </xf>
    <xf numFmtId="0" fontId="2" fillId="5" borderId="20" xfId="0" applyFont="1" applyFill="1" applyBorder="1" applyAlignment="1" applyProtection="1">
      <alignment horizontal="right" indent="1"/>
      <protection locked="0"/>
    </xf>
    <xf numFmtId="3" fontId="2" fillId="5" borderId="19" xfId="0" applyNumberFormat="1" applyFont="1" applyFill="1" applyBorder="1" applyAlignment="1" applyProtection="1">
      <alignment horizontal="right" indent="1"/>
      <protection locked="0"/>
    </xf>
    <xf numFmtId="3" fontId="2" fillId="5" borderId="18" xfId="0" applyNumberFormat="1" applyFont="1" applyFill="1" applyBorder="1" applyAlignment="1" applyProtection="1">
      <alignment horizontal="right" indent="1"/>
      <protection locked="0"/>
    </xf>
    <xf numFmtId="3" fontId="2" fillId="5" borderId="20" xfId="0" applyNumberFormat="1" applyFont="1" applyFill="1" applyBorder="1" applyAlignment="1" applyProtection="1">
      <alignment horizontal="right" indent="1"/>
      <protection locked="0"/>
    </xf>
    <xf numFmtId="4" fontId="2" fillId="5" borderId="19" xfId="0" applyNumberFormat="1" applyFont="1" applyFill="1" applyBorder="1" applyAlignment="1" applyProtection="1">
      <alignment horizontal="right" indent="1"/>
      <protection locked="0"/>
    </xf>
    <xf numFmtId="4" fontId="2" fillId="5" borderId="18" xfId="0" applyNumberFormat="1" applyFont="1" applyFill="1" applyBorder="1" applyAlignment="1" applyProtection="1">
      <alignment horizontal="right" indent="1"/>
      <protection locked="0"/>
    </xf>
    <xf numFmtId="4" fontId="2" fillId="5" borderId="20" xfId="0" applyNumberFormat="1" applyFont="1" applyFill="1" applyBorder="1" applyAlignment="1" applyProtection="1">
      <alignment horizontal="right" indent="1"/>
      <protection locked="0"/>
    </xf>
    <xf numFmtId="3" fontId="2" fillId="5" borderId="34" xfId="0" applyNumberFormat="1" applyFont="1" applyFill="1" applyBorder="1" applyAlignment="1" applyProtection="1">
      <alignment horizontal="right" indent="1"/>
      <protection locked="0"/>
    </xf>
    <xf numFmtId="3" fontId="2" fillId="5" borderId="35" xfId="0" applyNumberFormat="1" applyFont="1" applyFill="1" applyBorder="1" applyAlignment="1" applyProtection="1">
      <alignment horizontal="right" indent="1"/>
      <protection locked="0"/>
    </xf>
    <xf numFmtId="3" fontId="2" fillId="5" borderId="36" xfId="0" applyNumberFormat="1" applyFont="1" applyFill="1" applyBorder="1" applyAlignment="1" applyProtection="1">
      <alignment horizontal="right" indent="1"/>
      <protection locked="0"/>
    </xf>
    <xf numFmtId="0" fontId="18" fillId="3" borderId="0" xfId="0" applyFont="1" applyFill="1" applyBorder="1" applyAlignment="1">
      <alignment horizontal="right" indent="1"/>
    </xf>
    <xf numFmtId="4" fontId="7" fillId="5" borderId="19" xfId="0" applyNumberFormat="1" applyFont="1" applyFill="1" applyBorder="1" applyAlignment="1" applyProtection="1">
      <alignment horizontal="right" indent="1"/>
      <protection locked="0"/>
    </xf>
    <xf numFmtId="4" fontId="7" fillId="5" borderId="18" xfId="0" applyNumberFormat="1" applyFont="1" applyFill="1" applyBorder="1" applyAlignment="1" applyProtection="1">
      <alignment horizontal="right" indent="1"/>
      <protection locked="0"/>
    </xf>
    <xf numFmtId="4" fontId="7" fillId="5" borderId="20" xfId="0" applyNumberFormat="1" applyFont="1" applyFill="1" applyBorder="1" applyAlignment="1" applyProtection="1">
      <alignment horizontal="right" indent="1"/>
      <protection locked="0"/>
    </xf>
    <xf numFmtId="2" fontId="2" fillId="3" borderId="28" xfId="0" applyNumberFormat="1" applyFont="1" applyFill="1" applyBorder="1" applyAlignment="1">
      <alignment horizontal="right" indent="1"/>
    </xf>
    <xf numFmtId="0" fontId="2" fillId="3" borderId="33" xfId="0" applyFont="1" applyFill="1" applyBorder="1" applyAlignment="1">
      <alignment horizontal="right" indent="1"/>
    </xf>
    <xf numFmtId="0" fontId="2" fillId="3" borderId="28" xfId="0" applyFont="1" applyFill="1" applyBorder="1" applyAlignment="1">
      <alignment horizontal="center"/>
    </xf>
    <xf numFmtId="0" fontId="7" fillId="3" borderId="33" xfId="0" applyFont="1" applyFill="1" applyBorder="1" applyAlignment="1">
      <alignment horizontal="right" indent="1"/>
    </xf>
    <xf numFmtId="0" fontId="18" fillId="3" borderId="47" xfId="0" applyFont="1" applyFill="1" applyBorder="1" applyAlignment="1">
      <alignment horizontal="right" indent="1"/>
    </xf>
    <xf numFmtId="4" fontId="7" fillId="5" borderId="26" xfId="0" applyNumberFormat="1" applyFont="1" applyFill="1" applyBorder="1" applyAlignment="1" applyProtection="1">
      <alignment horizontal="right" indent="1"/>
      <protection locked="0"/>
    </xf>
    <xf numFmtId="4" fontId="2" fillId="3" borderId="0" xfId="0" applyNumberFormat="1" applyFont="1" applyFill="1" applyBorder="1" applyAlignment="1">
      <alignment horizontal="right" indent="1"/>
    </xf>
    <xf numFmtId="4" fontId="7" fillId="3" borderId="43" xfId="0" applyNumberFormat="1" applyFont="1" applyFill="1" applyBorder="1" applyAlignment="1">
      <alignment horizontal="right" indent="1"/>
    </xf>
    <xf numFmtId="4" fontId="2" fillId="3" borderId="28" xfId="0" applyNumberFormat="1" applyFont="1" applyFill="1" applyBorder="1" applyAlignment="1">
      <alignment horizontal="right" indent="1"/>
    </xf>
    <xf numFmtId="4" fontId="2" fillId="3" borderId="33" xfId="0" applyNumberFormat="1" applyFont="1" applyFill="1" applyBorder="1" applyAlignment="1">
      <alignment horizontal="right" indent="1"/>
    </xf>
    <xf numFmtId="2" fontId="7" fillId="3" borderId="35" xfId="0" applyNumberFormat="1" applyFont="1" applyFill="1" applyBorder="1" applyAlignment="1">
      <alignment horizontal="right" indent="1"/>
    </xf>
    <xf numFmtId="2" fontId="2" fillId="3" borderId="5" xfId="0" applyNumberFormat="1" applyFont="1" applyFill="1" applyBorder="1" applyAlignment="1">
      <alignment horizontal="right" indent="1"/>
    </xf>
    <xf numFmtId="2" fontId="2" fillId="3" borderId="18" xfId="0" applyNumberFormat="1" applyFont="1" applyFill="1" applyBorder="1" applyAlignment="1">
      <alignment horizontal="right" indent="1"/>
    </xf>
    <xf numFmtId="4" fontId="7" fillId="3" borderId="0" xfId="0" applyNumberFormat="1" applyFont="1" applyFill="1" applyBorder="1" applyAlignment="1" applyProtection="1">
      <alignment horizontal="right" indent="1"/>
      <protection locked="0"/>
    </xf>
    <xf numFmtId="0" fontId="2" fillId="5" borderId="2" xfId="0" applyFont="1" applyFill="1" applyBorder="1" applyAlignment="1" applyProtection="1">
      <alignment horizontal="right" indent="1"/>
      <protection locked="0"/>
    </xf>
    <xf numFmtId="0" fontId="2" fillId="5" borderId="3" xfId="0" applyFont="1" applyFill="1" applyBorder="1" applyAlignment="1" applyProtection="1">
      <alignment horizontal="right" indent="1"/>
      <protection locked="0"/>
    </xf>
    <xf numFmtId="0" fontId="2" fillId="5" borderId="4" xfId="0" applyFont="1" applyFill="1" applyBorder="1" applyAlignment="1" applyProtection="1">
      <alignment horizontal="right" indent="1"/>
      <protection locked="0"/>
    </xf>
    <xf numFmtId="4" fontId="2" fillId="5" borderId="2" xfId="0" applyNumberFormat="1" applyFont="1" applyFill="1" applyBorder="1" applyAlignment="1" applyProtection="1">
      <alignment horizontal="right" indent="1"/>
      <protection locked="0"/>
    </xf>
    <xf numFmtId="4" fontId="2" fillId="5" borderId="3" xfId="0" applyNumberFormat="1" applyFont="1" applyFill="1" applyBorder="1" applyAlignment="1" applyProtection="1">
      <alignment horizontal="right" indent="1"/>
      <protection locked="0"/>
    </xf>
    <xf numFmtId="4" fontId="2" fillId="5" borderId="4" xfId="0" applyNumberFormat="1" applyFont="1" applyFill="1" applyBorder="1" applyAlignment="1" applyProtection="1">
      <alignment horizontal="right" indent="1"/>
      <protection locked="0"/>
    </xf>
    <xf numFmtId="4" fontId="7" fillId="5" borderId="41" xfId="0" applyNumberFormat="1" applyFont="1" applyFill="1" applyBorder="1" applyAlignment="1" applyProtection="1">
      <alignment horizontal="right" indent="1"/>
      <protection locked="0"/>
    </xf>
    <xf numFmtId="2" fontId="2" fillId="3" borderId="2" xfId="0" applyNumberFormat="1" applyFont="1" applyFill="1" applyBorder="1" applyAlignment="1">
      <alignment horizontal="right" indent="1"/>
    </xf>
    <xf numFmtId="2" fontId="2" fillId="3" borderId="3" xfId="0" applyNumberFormat="1" applyFont="1" applyFill="1" applyBorder="1" applyAlignment="1">
      <alignment horizontal="right" indent="1"/>
    </xf>
    <xf numFmtId="2" fontId="2" fillId="3" borderId="4" xfId="0" applyNumberFormat="1" applyFont="1" applyFill="1" applyBorder="1" applyAlignment="1">
      <alignment horizontal="right" indent="1"/>
    </xf>
    <xf numFmtId="3" fontId="2" fillId="5" borderId="38" xfId="0" applyNumberFormat="1" applyFont="1" applyFill="1" applyBorder="1" applyAlignment="1" applyProtection="1">
      <alignment horizontal="right" indent="1"/>
      <protection locked="0"/>
    </xf>
    <xf numFmtId="3" fontId="2" fillId="5" borderId="39" xfId="0" applyNumberFormat="1" applyFont="1" applyFill="1" applyBorder="1" applyAlignment="1" applyProtection="1">
      <alignment horizontal="right" indent="1"/>
      <protection locked="0"/>
    </xf>
    <xf numFmtId="3" fontId="2" fillId="5" borderId="40" xfId="0" applyNumberFormat="1" applyFont="1" applyFill="1" applyBorder="1" applyAlignment="1" applyProtection="1">
      <alignment horizontal="right" indent="1"/>
      <protection locked="0"/>
    </xf>
    <xf numFmtId="3" fontId="2" fillId="5" borderId="2" xfId="0" applyNumberFormat="1" applyFont="1" applyFill="1" applyBorder="1" applyAlignment="1" applyProtection="1">
      <alignment horizontal="right" indent="1"/>
      <protection locked="0"/>
    </xf>
    <xf numFmtId="3" fontId="2" fillId="5" borderId="3" xfId="0" applyNumberFormat="1" applyFont="1" applyFill="1" applyBorder="1" applyAlignment="1" applyProtection="1">
      <alignment horizontal="right" indent="1"/>
      <protection locked="0"/>
    </xf>
    <xf numFmtId="3" fontId="2" fillId="5" borderId="4" xfId="0" applyNumberFormat="1" applyFont="1" applyFill="1" applyBorder="1" applyAlignment="1" applyProtection="1">
      <alignment horizontal="right" indent="1"/>
      <protection locked="0"/>
    </xf>
    <xf numFmtId="0" fontId="2" fillId="5" borderId="34" xfId="0" applyFont="1" applyFill="1" applyBorder="1" applyAlignment="1" applyProtection="1">
      <alignment horizontal="right" indent="1"/>
      <protection locked="0"/>
    </xf>
    <xf numFmtId="0" fontId="2" fillId="5" borderId="35" xfId="0" applyFont="1" applyFill="1" applyBorder="1" applyAlignment="1" applyProtection="1">
      <alignment horizontal="right" indent="1"/>
      <protection locked="0"/>
    </xf>
    <xf numFmtId="0" fontId="2" fillId="5" borderId="36" xfId="0" applyFont="1" applyFill="1" applyBorder="1" applyAlignment="1" applyProtection="1">
      <alignment horizontal="right" indent="1"/>
      <protection locked="0"/>
    </xf>
    <xf numFmtId="4" fontId="7" fillId="5" borderId="19" xfId="0" applyNumberFormat="1" applyFont="1" applyFill="1" applyBorder="1" applyAlignment="1" applyProtection="1">
      <alignment horizontal="left" indent="1"/>
      <protection locked="0"/>
    </xf>
    <xf numFmtId="4" fontId="7" fillId="5" borderId="18" xfId="0" applyNumberFormat="1" applyFont="1" applyFill="1" applyBorder="1" applyAlignment="1" applyProtection="1">
      <alignment horizontal="left" indent="1"/>
      <protection locked="0"/>
    </xf>
    <xf numFmtId="0" fontId="18" fillId="3" borderId="31" xfId="0" applyFont="1" applyFill="1" applyBorder="1" applyAlignment="1">
      <alignment horizontal="right" indent="1"/>
    </xf>
    <xf numFmtId="0" fontId="2" fillId="3" borderId="0" xfId="0" applyFont="1" applyFill="1" applyBorder="1" applyAlignment="1">
      <alignment horizontal="center"/>
    </xf>
    <xf numFmtId="4" fontId="7" fillId="3" borderId="0" xfId="0" applyNumberFormat="1" applyFont="1" applyFill="1" applyBorder="1" applyAlignment="1">
      <alignment horizontal="right" indent="1"/>
    </xf>
    <xf numFmtId="164" fontId="2" fillId="3" borderId="28" xfId="0" applyNumberFormat="1" applyFont="1" applyFill="1" applyBorder="1" applyAlignment="1">
      <alignment horizontal="right" indent="1"/>
    </xf>
    <xf numFmtId="164" fontId="2" fillId="3" borderId="9" xfId="0" applyNumberFormat="1" applyFont="1" applyFill="1" applyBorder="1" applyAlignment="1">
      <alignment horizontal="right" indent="1"/>
    </xf>
    <xf numFmtId="0" fontId="2" fillId="3" borderId="0" xfId="0" applyFont="1" applyFill="1" applyAlignment="1" applyProtection="1">
      <alignment horizontal="left" vertical="top" wrapText="1"/>
    </xf>
    <xf numFmtId="0" fontId="7" fillId="3" borderId="0" xfId="0" quotePrefix="1" applyFont="1" applyFill="1" applyAlignment="1" applyProtection="1">
      <alignment horizontal="left" vertical="top" wrapText="1"/>
    </xf>
    <xf numFmtId="0" fontId="4" fillId="3" borderId="0" xfId="0" applyFont="1" applyFill="1" applyAlignment="1" applyProtection="1">
      <alignment horizontal="left" vertical="top" wrapText="1"/>
    </xf>
    <xf numFmtId="2" fontId="7" fillId="3" borderId="0" xfId="0" applyNumberFormat="1" applyFont="1" applyFill="1" applyAlignment="1">
      <alignment horizontal="right" indent="1"/>
    </xf>
    <xf numFmtId="164" fontId="7" fillId="3" borderId="0" xfId="0" applyNumberFormat="1" applyFont="1" applyFill="1" applyAlignment="1">
      <alignment horizontal="right" indent="1"/>
    </xf>
    <xf numFmtId="1" fontId="7" fillId="3" borderId="0" xfId="0" applyNumberFormat="1" applyFont="1" applyFill="1" applyAlignment="1">
      <alignment horizontal="right" indent="1"/>
    </xf>
    <xf numFmtId="0" fontId="2" fillId="10" borderId="10" xfId="0" applyFont="1" applyFill="1" applyBorder="1" applyAlignment="1">
      <alignment horizontal="left" vertical="center" wrapText="1" indent="1"/>
    </xf>
    <xf numFmtId="0" fontId="2" fillId="10" borderId="11" xfId="0" applyFont="1" applyFill="1" applyBorder="1" applyAlignment="1">
      <alignment horizontal="left" vertical="center" wrapText="1" indent="1"/>
    </xf>
    <xf numFmtId="0" fontId="2" fillId="10" borderId="12" xfId="0" applyFont="1" applyFill="1" applyBorder="1" applyAlignment="1">
      <alignment horizontal="left" vertical="center" wrapText="1" indent="1"/>
    </xf>
    <xf numFmtId="0" fontId="2" fillId="10" borderId="13" xfId="0" applyFont="1" applyFill="1" applyBorder="1" applyAlignment="1">
      <alignment horizontal="left" vertical="center" wrapText="1" indent="1"/>
    </xf>
    <xf numFmtId="0" fontId="2" fillId="10" borderId="0" xfId="0" applyFont="1" applyFill="1" applyBorder="1" applyAlignment="1">
      <alignment horizontal="left" vertical="center" wrapText="1" indent="1"/>
    </xf>
    <xf numFmtId="0" fontId="2" fillId="10" borderId="14" xfId="0" applyFont="1" applyFill="1" applyBorder="1" applyAlignment="1">
      <alignment horizontal="left" vertical="center" wrapText="1" indent="1"/>
    </xf>
    <xf numFmtId="0" fontId="2" fillId="10" borderId="15" xfId="0" applyFont="1" applyFill="1" applyBorder="1" applyAlignment="1">
      <alignment horizontal="left" vertical="center" wrapText="1" indent="1"/>
    </xf>
    <xf numFmtId="0" fontId="2" fillId="10" borderId="16" xfId="0" applyFont="1" applyFill="1" applyBorder="1" applyAlignment="1">
      <alignment horizontal="left" vertical="center" wrapText="1" indent="1"/>
    </xf>
    <xf numFmtId="0" fontId="2" fillId="10" borderId="17" xfId="0" applyFont="1" applyFill="1" applyBorder="1" applyAlignment="1">
      <alignment horizontal="left" vertical="center" wrapText="1" indent="1"/>
    </xf>
    <xf numFmtId="0" fontId="2" fillId="10" borderId="10" xfId="0" applyFont="1" applyFill="1" applyBorder="1" applyAlignment="1">
      <alignment horizontal="center" vertical="center"/>
    </xf>
    <xf numFmtId="0" fontId="2" fillId="10" borderId="12" xfId="0" applyFont="1" applyFill="1" applyBorder="1" applyAlignment="1">
      <alignment horizontal="center" vertical="center"/>
    </xf>
    <xf numFmtId="0" fontId="2" fillId="10" borderId="13" xfId="0" applyFont="1" applyFill="1" applyBorder="1" applyAlignment="1">
      <alignment horizontal="center" vertical="center"/>
    </xf>
    <xf numFmtId="0" fontId="2" fillId="10" borderId="14" xfId="0" applyFont="1" applyFill="1" applyBorder="1" applyAlignment="1">
      <alignment horizontal="center" vertical="center"/>
    </xf>
    <xf numFmtId="0" fontId="2" fillId="10" borderId="15" xfId="0" applyFont="1" applyFill="1" applyBorder="1" applyAlignment="1">
      <alignment horizontal="center" vertical="center"/>
    </xf>
    <xf numFmtId="0" fontId="2" fillId="10" borderId="17" xfId="0" applyFont="1" applyFill="1" applyBorder="1" applyAlignment="1">
      <alignment horizontal="center" vertical="center"/>
    </xf>
    <xf numFmtId="0" fontId="2" fillId="11" borderId="1" xfId="0" applyFont="1" applyFill="1" applyBorder="1" applyAlignment="1">
      <alignment horizontal="right" vertical="top" indent="1"/>
    </xf>
    <xf numFmtId="0" fontId="2" fillId="7" borderId="10" xfId="0" applyFont="1" applyFill="1" applyBorder="1" applyAlignment="1">
      <alignment horizontal="right" vertical="center" indent="1"/>
    </xf>
    <xf numFmtId="0" fontId="2" fillId="7" borderId="12" xfId="0" applyFont="1" applyFill="1" applyBorder="1" applyAlignment="1">
      <alignment horizontal="right" vertical="center" indent="1"/>
    </xf>
    <xf numFmtId="0" fontId="2" fillId="7" borderId="15" xfId="0" applyFont="1" applyFill="1" applyBorder="1" applyAlignment="1">
      <alignment horizontal="right" vertical="center" indent="1"/>
    </xf>
    <xf numFmtId="0" fontId="2" fillId="7" borderId="17" xfId="0" applyFont="1" applyFill="1" applyBorder="1" applyAlignment="1">
      <alignment horizontal="right" vertical="center" indent="1"/>
    </xf>
    <xf numFmtId="0" fontId="15" fillId="3" borderId="1" xfId="1" applyFont="1" applyFill="1" applyBorder="1" applyAlignment="1">
      <alignment horizontal="left" vertical="top" wrapText="1" indent="1"/>
    </xf>
    <xf numFmtId="0" fontId="2" fillId="3" borderId="1" xfId="0" applyFont="1" applyFill="1" applyBorder="1" applyAlignment="1">
      <alignment horizontal="left" vertical="top" wrapText="1" indent="1"/>
    </xf>
    <xf numFmtId="0" fontId="2" fillId="9" borderId="10" xfId="0" applyFont="1" applyFill="1" applyBorder="1" applyAlignment="1">
      <alignment horizontal="center" vertical="center"/>
    </xf>
    <xf numFmtId="0" fontId="2" fillId="9" borderId="12" xfId="0" applyFont="1" applyFill="1" applyBorder="1" applyAlignment="1">
      <alignment horizontal="center" vertical="center"/>
    </xf>
    <xf numFmtId="0" fontId="2" fillId="9" borderId="15" xfId="0" applyFont="1" applyFill="1" applyBorder="1" applyAlignment="1">
      <alignment horizontal="center" vertical="center"/>
    </xf>
    <xf numFmtId="0" fontId="2" fillId="9" borderId="17" xfId="0" applyFont="1" applyFill="1" applyBorder="1" applyAlignment="1">
      <alignment horizontal="center" vertical="center"/>
    </xf>
    <xf numFmtId="0" fontId="15" fillId="3" borderId="1" xfId="1" applyFont="1" applyFill="1" applyBorder="1" applyAlignment="1">
      <alignment horizontal="left" wrapText="1" indent="1"/>
    </xf>
    <xf numFmtId="0" fontId="2" fillId="3" borderId="1" xfId="0" applyFont="1" applyFill="1" applyBorder="1" applyAlignment="1">
      <alignment horizontal="right" vertical="top" indent="1"/>
    </xf>
    <xf numFmtId="0" fontId="2" fillId="12" borderId="1" xfId="0" applyFont="1" applyFill="1" applyBorder="1" applyAlignment="1">
      <alignment horizontal="right" vertical="center" indent="1"/>
    </xf>
    <xf numFmtId="0" fontId="2" fillId="3" borderId="1" xfId="0" applyFont="1" applyFill="1" applyBorder="1" applyAlignment="1">
      <alignment horizontal="left" indent="1"/>
    </xf>
    <xf numFmtId="0" fontId="2" fillId="7" borderId="10" xfId="0" applyFont="1" applyFill="1" applyBorder="1" applyAlignment="1">
      <alignment horizontal="left" vertical="center" wrapText="1" indent="1"/>
    </xf>
    <xf numFmtId="0" fontId="2" fillId="7" borderId="11" xfId="0" applyFont="1" applyFill="1" applyBorder="1" applyAlignment="1">
      <alignment horizontal="left" vertical="center" wrapText="1" indent="1"/>
    </xf>
    <xf numFmtId="0" fontId="2" fillId="7" borderId="12" xfId="0" applyFont="1" applyFill="1" applyBorder="1" applyAlignment="1">
      <alignment horizontal="left" vertical="center" wrapText="1" indent="1"/>
    </xf>
    <xf numFmtId="0" fontId="2" fillId="7" borderId="15" xfId="0" applyFont="1" applyFill="1" applyBorder="1" applyAlignment="1">
      <alignment horizontal="left" vertical="center" wrapText="1" indent="1"/>
    </xf>
    <xf numFmtId="0" fontId="2" fillId="7" borderId="16" xfId="0" applyFont="1" applyFill="1" applyBorder="1" applyAlignment="1">
      <alignment horizontal="left" vertical="center" wrapText="1" indent="1"/>
    </xf>
    <xf numFmtId="0" fontId="2" fillId="7" borderId="17" xfId="0" applyFont="1" applyFill="1" applyBorder="1" applyAlignment="1">
      <alignment horizontal="left" vertical="center" wrapText="1" indent="1"/>
    </xf>
    <xf numFmtId="0" fontId="2" fillId="3" borderId="1" xfId="0" applyFont="1" applyFill="1" applyBorder="1" applyAlignment="1">
      <alignment horizontal="left" vertical="top" indent="1"/>
    </xf>
    <xf numFmtId="0" fontId="2" fillId="12" borderId="1" xfId="0" applyFont="1" applyFill="1" applyBorder="1" applyAlignment="1">
      <alignment horizontal="left" vertical="center" wrapText="1" indent="1"/>
    </xf>
    <xf numFmtId="0" fontId="2" fillId="8" borderId="10"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0"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8" borderId="17" xfId="0" applyFont="1" applyFill="1" applyBorder="1" applyAlignment="1">
      <alignment horizontal="center" vertical="center" wrapText="1"/>
    </xf>
    <xf numFmtId="0" fontId="2" fillId="8" borderId="10" xfId="0" applyFont="1" applyFill="1" applyBorder="1" applyAlignment="1">
      <alignment horizontal="center" vertical="center"/>
    </xf>
    <xf numFmtId="0" fontId="2" fillId="8" borderId="12" xfId="0" applyFont="1" applyFill="1" applyBorder="1" applyAlignment="1">
      <alignment horizontal="center" vertical="center"/>
    </xf>
    <xf numFmtId="0" fontId="2" fillId="8" borderId="13" xfId="0" applyFont="1" applyFill="1" applyBorder="1" applyAlignment="1">
      <alignment horizontal="center" vertical="center"/>
    </xf>
    <xf numFmtId="0" fontId="2" fillId="8" borderId="14" xfId="0" applyFont="1" applyFill="1" applyBorder="1" applyAlignment="1">
      <alignment horizontal="center" vertical="center"/>
    </xf>
    <xf numFmtId="0" fontId="2" fillId="8" borderId="15" xfId="0" applyFont="1" applyFill="1" applyBorder="1" applyAlignment="1">
      <alignment horizontal="center" vertical="center"/>
    </xf>
    <xf numFmtId="0" fontId="2" fillId="8" borderId="17" xfId="0" applyFont="1" applyFill="1" applyBorder="1" applyAlignment="1">
      <alignment horizontal="center" vertical="center"/>
    </xf>
    <xf numFmtId="0" fontId="2" fillId="3" borderId="6" xfId="0" applyFont="1" applyFill="1" applyBorder="1" applyAlignment="1">
      <alignment horizontal="left" vertical="top" wrapText="1" indent="1"/>
    </xf>
    <xf numFmtId="0" fontId="2" fillId="3" borderId="7" xfId="0" applyFont="1" applyFill="1" applyBorder="1" applyAlignment="1">
      <alignment horizontal="left" vertical="top" wrapText="1" indent="1"/>
    </xf>
    <xf numFmtId="0" fontId="2" fillId="3" borderId="8" xfId="0" applyFont="1" applyFill="1" applyBorder="1" applyAlignment="1">
      <alignment horizontal="left" vertical="top" wrapText="1" indent="1"/>
    </xf>
    <xf numFmtId="0" fontId="2" fillId="4" borderId="16" xfId="0" applyFont="1" applyFill="1" applyBorder="1" applyAlignment="1">
      <alignment horizontal="left" indent="1"/>
    </xf>
    <xf numFmtId="0" fontId="2" fillId="3" borderId="0" xfId="0" applyFont="1" applyFill="1" applyAlignment="1">
      <alignment horizontal="right"/>
    </xf>
    <xf numFmtId="0" fontId="15" fillId="3" borderId="6" xfId="1" applyFont="1" applyFill="1" applyBorder="1" applyAlignment="1">
      <alignment horizontal="left" vertical="top" wrapText="1" indent="1"/>
    </xf>
    <xf numFmtId="0" fontId="15" fillId="3" borderId="7" xfId="1" applyFont="1" applyFill="1" applyBorder="1" applyAlignment="1">
      <alignment horizontal="left" vertical="top" wrapText="1" indent="1"/>
    </xf>
    <xf numFmtId="0" fontId="15" fillId="3" borderId="8" xfId="1" applyFont="1" applyFill="1" applyBorder="1" applyAlignment="1">
      <alignment horizontal="left" vertical="top" wrapText="1" indent="1"/>
    </xf>
    <xf numFmtId="0" fontId="2" fillId="3" borderId="1" xfId="0" applyFont="1" applyFill="1" applyBorder="1" applyAlignment="1">
      <alignment horizontal="right" indent="1"/>
    </xf>
    <xf numFmtId="0" fontId="2" fillId="11" borderId="1" xfId="0" applyFont="1" applyFill="1" applyBorder="1" applyAlignment="1">
      <alignment horizontal="left" wrapText="1" indent="1"/>
    </xf>
    <xf numFmtId="0" fontId="2" fillId="9" borderId="10" xfId="0" applyFont="1" applyFill="1" applyBorder="1" applyAlignment="1">
      <alignment horizontal="left" vertical="center" wrapText="1" indent="1"/>
    </xf>
    <xf numFmtId="0" fontId="2" fillId="9" borderId="11" xfId="0" applyFont="1" applyFill="1" applyBorder="1" applyAlignment="1">
      <alignment horizontal="left" vertical="center" wrapText="1" indent="1"/>
    </xf>
    <xf numFmtId="0" fontId="2" fillId="9" borderId="12" xfId="0" applyFont="1" applyFill="1" applyBorder="1" applyAlignment="1">
      <alignment horizontal="left" vertical="center" wrapText="1" indent="1"/>
    </xf>
    <xf numFmtId="0" fontId="2" fillId="9" borderId="15" xfId="0" applyFont="1" applyFill="1" applyBorder="1" applyAlignment="1">
      <alignment horizontal="left" vertical="center" wrapText="1" indent="1"/>
    </xf>
    <xf numFmtId="0" fontId="2" fillId="9" borderId="16" xfId="0" applyFont="1" applyFill="1" applyBorder="1" applyAlignment="1">
      <alignment horizontal="left" vertical="center" wrapText="1" indent="1"/>
    </xf>
    <xf numFmtId="0" fontId="2" fillId="9" borderId="17" xfId="0" applyFont="1" applyFill="1" applyBorder="1" applyAlignment="1">
      <alignment horizontal="left" vertical="center" wrapText="1" indent="1"/>
    </xf>
    <xf numFmtId="0" fontId="2" fillId="4" borderId="16" xfId="0" applyFont="1" applyFill="1" applyBorder="1" applyAlignment="1">
      <alignment horizontal="center"/>
    </xf>
    <xf numFmtId="0" fontId="13" fillId="3" borderId="6" xfId="0" applyFont="1" applyFill="1" applyBorder="1" applyAlignment="1">
      <alignment horizontal="center"/>
    </xf>
    <xf numFmtId="0" fontId="13" fillId="3" borderId="7" xfId="0" applyFont="1" applyFill="1" applyBorder="1" applyAlignment="1">
      <alignment horizontal="center"/>
    </xf>
    <xf numFmtId="0" fontId="13" fillId="3" borderId="8" xfId="0" applyFont="1" applyFill="1" applyBorder="1" applyAlignment="1">
      <alignment horizontal="center"/>
    </xf>
    <xf numFmtId="0" fontId="19" fillId="3" borderId="1" xfId="0" applyFont="1" applyFill="1" applyBorder="1" applyAlignment="1">
      <alignment horizontal="center"/>
    </xf>
    <xf numFmtId="0" fontId="2" fillId="3" borderId="1" xfId="0" applyFont="1" applyFill="1" applyBorder="1" applyAlignment="1">
      <alignment horizontal="center"/>
    </xf>
    <xf numFmtId="0" fontId="13" fillId="3" borderId="1" xfId="0" applyFont="1" applyFill="1" applyBorder="1" applyAlignment="1">
      <alignment horizontal="center"/>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3" fillId="3" borderId="1" xfId="0" applyFont="1" applyFill="1" applyBorder="1" applyAlignment="1">
      <alignment horizontal="center"/>
    </xf>
    <xf numFmtId="165" fontId="2" fillId="3" borderId="23" xfId="0" applyNumberFormat="1" applyFont="1" applyFill="1" applyBorder="1" applyAlignment="1">
      <alignment horizontal="center"/>
    </xf>
    <xf numFmtId="165" fontId="2" fillId="3" borderId="24" xfId="0" applyNumberFormat="1" applyFont="1" applyFill="1" applyBorder="1" applyAlignment="1">
      <alignment horizontal="center"/>
    </xf>
    <xf numFmtId="165" fontId="2" fillId="3" borderId="25" xfId="0" applyNumberFormat="1" applyFont="1" applyFill="1" applyBorder="1" applyAlignment="1">
      <alignment horizontal="center"/>
    </xf>
    <xf numFmtId="165" fontId="2" fillId="3" borderId="21" xfId="0" applyNumberFormat="1" applyFont="1" applyFill="1" applyBorder="1" applyAlignment="1">
      <alignment horizontal="center"/>
    </xf>
    <xf numFmtId="0" fontId="13" fillId="3" borderId="1" xfId="0" applyFont="1" applyFill="1" applyBorder="1" applyAlignment="1"/>
    <xf numFmtId="0" fontId="2" fillId="3" borderId="1" xfId="0" applyFont="1" applyFill="1" applyBorder="1" applyAlignment="1"/>
    <xf numFmtId="165" fontId="2" fillId="3" borderId="6" xfId="0" applyNumberFormat="1" applyFont="1" applyFill="1" applyBorder="1" applyAlignment="1">
      <alignment horizontal="center"/>
    </xf>
    <xf numFmtId="165" fontId="2" fillId="3" borderId="7" xfId="0" applyNumberFormat="1" applyFont="1" applyFill="1" applyBorder="1" applyAlignment="1">
      <alignment horizontal="center"/>
    </xf>
    <xf numFmtId="165" fontId="2" fillId="3" borderId="8" xfId="0" applyNumberFormat="1" applyFont="1" applyFill="1" applyBorder="1" applyAlignment="1">
      <alignment horizontal="center"/>
    </xf>
    <xf numFmtId="0" fontId="2" fillId="3" borderId="13" xfId="0" applyFont="1" applyFill="1" applyBorder="1" applyAlignment="1">
      <alignment horizontal="center"/>
    </xf>
    <xf numFmtId="0" fontId="13" fillId="3" borderId="1" xfId="0" applyFont="1" applyFill="1" applyBorder="1" applyAlignment="1">
      <alignment horizontal="left"/>
    </xf>
    <xf numFmtId="0" fontId="2" fillId="3" borderId="6" xfId="0" applyFont="1" applyFill="1" applyBorder="1" applyAlignment="1">
      <alignment horizontal="left"/>
    </xf>
    <xf numFmtId="0" fontId="2" fillId="3" borderId="7" xfId="0" applyFont="1" applyFill="1" applyBorder="1" applyAlignment="1">
      <alignment horizontal="left"/>
    </xf>
    <xf numFmtId="0" fontId="2" fillId="3" borderId="8" xfId="0" applyFont="1" applyFill="1" applyBorder="1" applyAlignment="1">
      <alignment horizontal="left"/>
    </xf>
    <xf numFmtId="0" fontId="2" fillId="3" borderId="10" xfId="0" applyFont="1" applyFill="1" applyBorder="1" applyAlignment="1">
      <alignment horizontal="center"/>
    </xf>
    <xf numFmtId="0" fontId="2" fillId="3" borderId="11" xfId="0" applyFont="1" applyFill="1" applyBorder="1" applyAlignment="1">
      <alignment horizontal="center"/>
    </xf>
    <xf numFmtId="49" fontId="2" fillId="3" borderId="6" xfId="0" applyNumberFormat="1" applyFont="1" applyFill="1" applyBorder="1" applyAlignment="1">
      <alignment horizontal="center"/>
    </xf>
    <xf numFmtId="49" fontId="2" fillId="3" borderId="7" xfId="0" applyNumberFormat="1" applyFont="1" applyFill="1" applyBorder="1" applyAlignment="1">
      <alignment horizontal="center"/>
    </xf>
    <xf numFmtId="49" fontId="2" fillId="3" borderId="8" xfId="0" applyNumberFormat="1" applyFont="1" applyFill="1" applyBorder="1" applyAlignment="1">
      <alignment horizontal="center"/>
    </xf>
    <xf numFmtId="16" fontId="2" fillId="3" borderId="6" xfId="0" applyNumberFormat="1" applyFont="1" applyFill="1" applyBorder="1" applyAlignment="1">
      <alignment horizontal="center"/>
    </xf>
    <xf numFmtId="0" fontId="2" fillId="3" borderId="1" xfId="0" applyFont="1" applyFill="1" applyBorder="1" applyAlignment="1">
      <alignment horizontal="left"/>
    </xf>
    <xf numFmtId="165" fontId="2" fillId="3" borderId="1" xfId="0" applyNumberFormat="1" applyFont="1" applyFill="1" applyBorder="1" applyAlignment="1">
      <alignment horizontal="center"/>
    </xf>
    <xf numFmtId="0" fontId="15" fillId="4" borderId="0" xfId="1" applyFont="1" applyFill="1" applyBorder="1" applyAlignment="1">
      <alignment horizontal="center" vertical="center"/>
    </xf>
    <xf numFmtId="0" fontId="2" fillId="3" borderId="0" xfId="0" applyFont="1" applyFill="1" applyBorder="1" applyAlignment="1">
      <alignment horizontal="center" vertical="center"/>
    </xf>
    <xf numFmtId="0" fontId="2" fillId="3" borderId="1" xfId="0" applyFont="1" applyFill="1" applyBorder="1" applyAlignment="1">
      <alignment horizontal="center" wrapText="1"/>
    </xf>
    <xf numFmtId="0" fontId="2" fillId="3" borderId="22" xfId="0" applyFont="1" applyFill="1" applyBorder="1" applyAlignment="1">
      <alignment horizontal="center" wrapText="1"/>
    </xf>
    <xf numFmtId="0" fontId="2" fillId="3" borderId="13"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2" borderId="10" xfId="0" applyFont="1" applyFill="1" applyBorder="1" applyAlignment="1">
      <alignment horizontal="center"/>
    </xf>
    <xf numFmtId="0" fontId="2" fillId="2" borderId="11" xfId="0" applyFont="1" applyFill="1" applyBorder="1" applyAlignment="1">
      <alignment horizontal="center"/>
    </xf>
    <xf numFmtId="0" fontId="2" fillId="2" borderId="12" xfId="0" applyFont="1" applyFill="1" applyBorder="1" applyAlignment="1">
      <alignment horizontal="center"/>
    </xf>
    <xf numFmtId="0" fontId="2" fillId="2" borderId="0" xfId="0" applyFont="1" applyFill="1" applyBorder="1" applyAlignment="1">
      <alignment horizontal="center"/>
    </xf>
    <xf numFmtId="0" fontId="2" fillId="2" borderId="14" xfId="0" applyFont="1" applyFill="1" applyBorder="1" applyAlignment="1">
      <alignment horizontal="center"/>
    </xf>
    <xf numFmtId="0" fontId="2" fillId="2" borderId="16" xfId="0" applyFont="1" applyFill="1" applyBorder="1" applyAlignment="1">
      <alignment horizontal="center"/>
    </xf>
    <xf numFmtId="0" fontId="2" fillId="2" borderId="17" xfId="0" applyFont="1" applyFill="1" applyBorder="1" applyAlignment="1">
      <alignment horizontal="center"/>
    </xf>
    <xf numFmtId="0" fontId="2" fillId="2" borderId="13" xfId="0" applyFont="1" applyFill="1" applyBorder="1" applyAlignment="1">
      <alignment horizontal="center"/>
    </xf>
    <xf numFmtId="0" fontId="2" fillId="2" borderId="15"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2" fontId="2" fillId="3" borderId="7" xfId="0" applyNumberFormat="1" applyFont="1" applyFill="1" applyBorder="1" applyAlignment="1">
      <alignment horizontal="center"/>
    </xf>
    <xf numFmtId="2" fontId="2" fillId="3" borderId="8" xfId="0" applyNumberFormat="1" applyFont="1" applyFill="1" applyBorder="1" applyAlignment="1">
      <alignment horizontal="center"/>
    </xf>
    <xf numFmtId="0" fontId="2" fillId="2" borderId="8" xfId="0" applyFont="1" applyFill="1" applyBorder="1" applyAlignment="1">
      <alignment horizontal="center"/>
    </xf>
    <xf numFmtId="0" fontId="2" fillId="2" borderId="1" xfId="0" applyFont="1" applyFill="1" applyBorder="1" applyAlignment="1">
      <alignment horizontal="center"/>
    </xf>
    <xf numFmtId="164" fontId="2" fillId="0" borderId="1" xfId="0" applyNumberFormat="1" applyFont="1" applyBorder="1" applyAlignment="1">
      <alignment horizontal="center"/>
    </xf>
    <xf numFmtId="0" fontId="2" fillId="2" borderId="1" xfId="0" applyFont="1" applyFill="1" applyBorder="1" applyAlignment="1">
      <alignment horizontal="left" indent="1"/>
    </xf>
    <xf numFmtId="0" fontId="2" fillId="0" borderId="1" xfId="0" applyFont="1" applyBorder="1" applyAlignment="1">
      <alignment horizontal="center"/>
    </xf>
    <xf numFmtId="2" fontId="2" fillId="0" borderId="1" xfId="0" applyNumberFormat="1" applyFont="1" applyBorder="1" applyAlignment="1">
      <alignment horizontal="center"/>
    </xf>
    <xf numFmtId="0" fontId="2" fillId="0" borderId="1" xfId="0" applyFont="1" applyBorder="1" applyAlignment="1">
      <alignment horizontal="left" indent="1"/>
    </xf>
    <xf numFmtId="0" fontId="2" fillId="0" borderId="6" xfId="0" applyFont="1" applyBorder="1" applyAlignment="1">
      <alignment horizontal="left" indent="1"/>
    </xf>
    <xf numFmtId="0" fontId="2" fillId="0" borderId="7" xfId="0" applyFont="1" applyBorder="1" applyAlignment="1">
      <alignment horizontal="left" indent="1"/>
    </xf>
    <xf numFmtId="0" fontId="2" fillId="0" borderId="8" xfId="0" applyFont="1" applyBorder="1" applyAlignment="1">
      <alignment horizontal="left" indent="1"/>
    </xf>
    <xf numFmtId="2" fontId="2" fillId="3" borderId="1" xfId="0" applyNumberFormat="1" applyFont="1" applyFill="1" applyBorder="1" applyAlignment="1">
      <alignment horizontal="center"/>
    </xf>
    <xf numFmtId="10" fontId="0" fillId="3" borderId="1" xfId="2" applyNumberFormat="1" applyFont="1" applyFill="1" applyBorder="1" applyAlignment="1">
      <alignment horizontal="center"/>
    </xf>
    <xf numFmtId="0" fontId="0" fillId="3" borderId="1" xfId="0" applyFill="1" applyBorder="1" applyAlignment="1">
      <alignment horizontal="center"/>
    </xf>
    <xf numFmtId="0" fontId="0" fillId="2" borderId="1" xfId="0" applyFill="1" applyBorder="1" applyAlignment="1">
      <alignment horizontal="center"/>
    </xf>
    <xf numFmtId="4" fontId="0" fillId="3" borderId="1" xfId="0" applyNumberFormat="1" applyFill="1" applyBorder="1" applyAlignment="1">
      <alignment horizontal="center"/>
    </xf>
    <xf numFmtId="0" fontId="16" fillId="3" borderId="1" xfId="0" applyFont="1" applyFill="1" applyBorder="1" applyAlignment="1">
      <alignment horizontal="center"/>
    </xf>
    <xf numFmtId="2" fontId="16" fillId="3" borderId="1" xfId="0" applyNumberFormat="1" applyFont="1" applyFill="1" applyBorder="1" applyAlignment="1">
      <alignment horizontal="center"/>
    </xf>
    <xf numFmtId="0" fontId="2" fillId="13" borderId="1" xfId="0" applyFont="1" applyFill="1" applyBorder="1" applyAlignment="1">
      <alignment horizontal="center"/>
    </xf>
    <xf numFmtId="2" fontId="2" fillId="13" borderId="1" xfId="0" applyNumberFormat="1" applyFont="1" applyFill="1" applyBorder="1" applyAlignment="1">
      <alignment horizontal="center"/>
    </xf>
    <xf numFmtId="0" fontId="2" fillId="3" borderId="0" xfId="0" applyFont="1" applyFill="1" applyAlignment="1">
      <alignment horizontal="right" indent="1"/>
    </xf>
    <xf numFmtId="2" fontId="2" fillId="13" borderId="6" xfId="0" applyNumberFormat="1" applyFont="1" applyFill="1" applyBorder="1" applyAlignment="1">
      <alignment horizontal="center"/>
    </xf>
    <xf numFmtId="0" fontId="2" fillId="13" borderId="7" xfId="0" applyFont="1" applyFill="1" applyBorder="1" applyAlignment="1">
      <alignment horizontal="center"/>
    </xf>
    <xf numFmtId="0" fontId="2" fillId="13" borderId="8" xfId="0" applyFont="1" applyFill="1" applyBorder="1" applyAlignment="1">
      <alignment horizontal="center"/>
    </xf>
    <xf numFmtId="0" fontId="7" fillId="2" borderId="1" xfId="0" applyFont="1" applyFill="1" applyBorder="1" applyAlignment="1">
      <alignment horizontal="center"/>
    </xf>
    <xf numFmtId="164" fontId="2" fillId="13" borderId="1" xfId="0" applyNumberFormat="1" applyFont="1" applyFill="1" applyBorder="1" applyAlignment="1">
      <alignment horizontal="center"/>
    </xf>
    <xf numFmtId="164" fontId="2" fillId="3" borderId="1" xfId="0" applyNumberFormat="1" applyFont="1" applyFill="1" applyBorder="1" applyAlignment="1">
      <alignment horizontal="center"/>
    </xf>
    <xf numFmtId="2" fontId="2" fillId="3" borderId="6" xfId="0" applyNumberFormat="1" applyFont="1" applyFill="1" applyBorder="1" applyAlignment="1">
      <alignment horizontal="center"/>
    </xf>
    <xf numFmtId="2" fontId="2" fillId="3" borderId="0" xfId="0" applyNumberFormat="1" applyFont="1" applyFill="1" applyBorder="1" applyAlignment="1">
      <alignment horizontal="center"/>
    </xf>
    <xf numFmtId="164" fontId="2" fillId="3" borderId="0" xfId="0" applyNumberFormat="1" applyFont="1" applyFill="1" applyBorder="1" applyAlignment="1">
      <alignment horizontal="center"/>
    </xf>
    <xf numFmtId="0" fontId="7" fillId="3" borderId="0" xfId="0" applyFont="1" applyFill="1" applyBorder="1" applyAlignment="1">
      <alignment horizontal="left" wrapText="1"/>
    </xf>
    <xf numFmtId="0" fontId="2" fillId="3" borderId="0" xfId="0" applyFont="1" applyFill="1" applyBorder="1" applyAlignment="1">
      <alignment horizontal="left" vertical="top" wrapText="1"/>
    </xf>
    <xf numFmtId="2" fontId="2" fillId="3" borderId="0" xfId="0" applyNumberFormat="1" applyFont="1" applyFill="1" applyAlignment="1">
      <alignment horizontal="right" indent="1"/>
    </xf>
    <xf numFmtId="0" fontId="2" fillId="3" borderId="0" xfId="0" applyFont="1" applyFill="1" applyAlignment="1">
      <alignment horizontal="center"/>
    </xf>
  </cellXfs>
  <cellStyles count="3">
    <cellStyle name="Link" xfId="1" builtinId="8"/>
    <cellStyle name="Prozent" xfId="2" builtinId="5"/>
    <cellStyle name="Standard" xfId="0" builtinId="0"/>
  </cellStyles>
  <dxfs count="48">
    <dxf>
      <fill>
        <patternFill patternType="gray0625"/>
      </fill>
    </dxf>
    <dxf>
      <fill>
        <patternFill patternType="gray0625"/>
      </fill>
    </dxf>
    <dxf>
      <fill>
        <patternFill patternType="gray0625"/>
      </fill>
    </dxf>
    <dxf>
      <fill>
        <patternFill patternType="gray0625"/>
      </fill>
    </dxf>
    <dxf>
      <fill>
        <patternFill patternType="gray0625"/>
      </fill>
    </dxf>
    <dxf>
      <font>
        <color theme="0"/>
      </font>
      <fill>
        <patternFill>
          <bgColor theme="1"/>
        </patternFill>
      </fill>
    </dxf>
    <dxf>
      <font>
        <color theme="0"/>
      </font>
      <fill>
        <patternFill>
          <bgColor theme="1"/>
        </patternFill>
      </fill>
    </dxf>
    <dxf>
      <font>
        <color theme="0"/>
      </font>
      <fill>
        <patternFill>
          <bgColor theme="1"/>
        </patternFill>
      </fill>
    </dxf>
    <dxf>
      <fill>
        <patternFill patternType="gray0625"/>
      </fill>
    </dxf>
    <dxf>
      <fill>
        <patternFill patternType="gray0625"/>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numFmt numFmtId="1" formatCode="0"/>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border>
        <right/>
        <vertical/>
        <horizontal/>
      </border>
    </dxf>
    <dxf>
      <border>
        <left style="hair">
          <color theme="4"/>
        </left>
        <vertical/>
        <horizontal/>
      </border>
    </dxf>
    <dxf>
      <border>
        <bottom style="hair">
          <color theme="4"/>
        </bottom>
        <vertical/>
        <horizontal/>
      </border>
    </dxf>
    <dxf>
      <fill>
        <patternFill>
          <bgColor theme="0"/>
        </patternFill>
      </fill>
      <border>
        <right/>
        <vertical/>
        <horizontal/>
      </border>
    </dxf>
    <dxf>
      <fill>
        <patternFill>
          <bgColor theme="0"/>
        </patternFill>
      </fill>
      <border>
        <right/>
        <top/>
        <bottom/>
      </bord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fill>
        <patternFill>
          <fgColor theme="0"/>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xdr:colOff>
      <xdr:row>7</xdr:row>
      <xdr:rowOff>2</xdr:rowOff>
    </xdr:from>
    <xdr:to>
      <xdr:col>29</xdr:col>
      <xdr:colOff>170919</xdr:colOff>
      <xdr:row>49</xdr:row>
      <xdr:rowOff>190499</xdr:rowOff>
    </xdr:to>
    <xdr:pic>
      <xdr:nvPicPr>
        <xdr:cNvPr id="3" name="Grafik 2"/>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3023"/>
        <a:stretch/>
      </xdr:blipFill>
      <xdr:spPr>
        <a:xfrm>
          <a:off x="2" y="1333502"/>
          <a:ext cx="5907898" cy="8191497"/>
        </a:xfrm>
        <a:prstGeom prst="rect">
          <a:avLst/>
        </a:prstGeom>
      </xdr:spPr>
    </xdr:pic>
    <xdr:clientData/>
  </xdr:twoCellAnchor>
  <xdr:twoCellAnchor>
    <xdr:from>
      <xdr:col>15</xdr:col>
      <xdr:colOff>109903</xdr:colOff>
      <xdr:row>45</xdr:row>
      <xdr:rowOff>13582</xdr:rowOff>
    </xdr:from>
    <xdr:to>
      <xdr:col>22</xdr:col>
      <xdr:colOff>144393</xdr:colOff>
      <xdr:row>46</xdr:row>
      <xdr:rowOff>35355</xdr:rowOff>
    </xdr:to>
    <xdr:sp macro="" textlink="$H$3">
      <xdr:nvSpPr>
        <xdr:cNvPr id="4" name="Textfeld 3"/>
        <xdr:cNvSpPr txBox="1"/>
      </xdr:nvSpPr>
      <xdr:spPr>
        <a:xfrm>
          <a:off x="3077307" y="8586082"/>
          <a:ext cx="1419278" cy="212273"/>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47AA58BB-1229-4BA4-AB36-FF10F0CE390E}" type="TxLink">
            <a:rPr lang="en-US" sz="1100" b="1" i="0" u="none" strike="noStrike">
              <a:solidFill>
                <a:srgbClr val="FF0000"/>
              </a:solidFill>
              <a:latin typeface="Calibri"/>
              <a:cs typeface="Calibri"/>
            </a:rPr>
            <a:pPr algn="l"/>
            <a:t>.....</a:t>
          </a:fld>
          <a:endParaRPr lang="en-US" sz="1100" b="1">
            <a:solidFill>
              <a:srgbClr val="FF0000"/>
            </a:solidFill>
          </a:endParaRPr>
        </a:p>
      </xdr:txBody>
    </xdr:sp>
    <xdr:clientData/>
  </xdr:twoCellAnchor>
  <xdr:twoCellAnchor>
    <xdr:from>
      <xdr:col>9</xdr:col>
      <xdr:colOff>134744</xdr:colOff>
      <xdr:row>46</xdr:row>
      <xdr:rowOff>46463</xdr:rowOff>
    </xdr:from>
    <xdr:to>
      <xdr:col>23</xdr:col>
      <xdr:colOff>176561</xdr:colOff>
      <xdr:row>46</xdr:row>
      <xdr:rowOff>46463</xdr:rowOff>
    </xdr:to>
    <xdr:cxnSp macro="">
      <xdr:nvCxnSpPr>
        <xdr:cNvPr id="6" name="Gerade Verbindung mit Pfeil 5"/>
        <xdr:cNvCxnSpPr/>
      </xdr:nvCxnSpPr>
      <xdr:spPr>
        <a:xfrm flipH="1">
          <a:off x="1932878" y="8237963"/>
          <a:ext cx="2838915" cy="0"/>
        </a:xfrm>
        <a:prstGeom prst="straightConnector1">
          <a:avLst/>
        </a:prstGeom>
        <a:ln w="12700">
          <a:solidFill>
            <a:srgbClr val="FF0000"/>
          </a:solidFill>
          <a:headEnd type="triangle" w="lg" len="lg"/>
          <a:tailEnd type="triangle" w="lg" len="lg"/>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134378</xdr:colOff>
      <xdr:row>32</xdr:row>
      <xdr:rowOff>52003</xdr:rowOff>
    </xdr:from>
    <xdr:to>
      <xdr:col>27</xdr:col>
      <xdr:colOff>134556</xdr:colOff>
      <xdr:row>43</xdr:row>
      <xdr:rowOff>9293</xdr:rowOff>
    </xdr:to>
    <xdr:cxnSp macro="">
      <xdr:nvCxnSpPr>
        <xdr:cNvPr id="8" name="Gerade Verbindung mit Pfeil 7"/>
        <xdr:cNvCxnSpPr/>
      </xdr:nvCxnSpPr>
      <xdr:spPr>
        <a:xfrm flipH="1">
          <a:off x="5548589" y="5576503"/>
          <a:ext cx="178" cy="2052790"/>
        </a:xfrm>
        <a:prstGeom prst="straightConnector1">
          <a:avLst/>
        </a:prstGeom>
        <a:ln w="12700">
          <a:solidFill>
            <a:srgbClr val="FF0000"/>
          </a:solidFill>
          <a:headEnd type="triangle" w="lg" len="lg"/>
          <a:tailEnd type="triangle" w="lg" len="lg"/>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139412</xdr:colOff>
      <xdr:row>37</xdr:row>
      <xdr:rowOff>40208</xdr:rowOff>
    </xdr:from>
    <xdr:to>
      <xdr:col>29</xdr:col>
      <xdr:colOff>139211</xdr:colOff>
      <xdr:row>38</xdr:row>
      <xdr:rowOff>55228</xdr:rowOff>
    </xdr:to>
    <xdr:sp macro="" textlink="$H$6">
      <xdr:nvSpPr>
        <xdr:cNvPr id="11" name="Textfeld 10"/>
        <xdr:cNvSpPr txBox="1"/>
      </xdr:nvSpPr>
      <xdr:spPr>
        <a:xfrm>
          <a:off x="5282912" y="7088708"/>
          <a:ext cx="593280" cy="20552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84171B49-B13F-42C1-A683-F65AB2FECF18}" type="TxLink">
            <a:rPr lang="en-US" sz="1100" b="1" i="0" u="none" strike="noStrike">
              <a:solidFill>
                <a:srgbClr val="FF0000"/>
              </a:solidFill>
              <a:latin typeface="Calibri"/>
              <a:cs typeface="Calibri"/>
            </a:rPr>
            <a:pPr/>
            <a:t>.....</a:t>
          </a:fld>
          <a:endParaRPr lang="en-US" sz="1100" b="1">
            <a:solidFill>
              <a:srgbClr val="FF0000"/>
            </a:solidFill>
          </a:endParaRPr>
        </a:p>
      </xdr:txBody>
    </xdr:sp>
    <xdr:clientData/>
  </xdr:twoCellAnchor>
  <xdr:twoCellAnchor>
    <xdr:from>
      <xdr:col>19</xdr:col>
      <xdr:colOff>176158</xdr:colOff>
      <xdr:row>32</xdr:row>
      <xdr:rowOff>40097</xdr:rowOff>
    </xdr:from>
    <xdr:to>
      <xdr:col>19</xdr:col>
      <xdr:colOff>176561</xdr:colOff>
      <xdr:row>39</xdr:row>
      <xdr:rowOff>65049</xdr:rowOff>
    </xdr:to>
    <xdr:cxnSp macro="">
      <xdr:nvCxnSpPr>
        <xdr:cNvPr id="12" name="Gerade Verbindung mit Pfeil 11"/>
        <xdr:cNvCxnSpPr/>
      </xdr:nvCxnSpPr>
      <xdr:spPr>
        <a:xfrm>
          <a:off x="3972219" y="5564597"/>
          <a:ext cx="403" cy="1358452"/>
        </a:xfrm>
        <a:prstGeom prst="straightConnector1">
          <a:avLst/>
        </a:prstGeom>
        <a:ln w="12700">
          <a:solidFill>
            <a:srgbClr val="FF0000"/>
          </a:solidFill>
          <a:headEnd type="triangle" w="lg" len="lg"/>
          <a:tailEnd type="triangle" w="lg" len="lg"/>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42419</xdr:colOff>
      <xdr:row>35</xdr:row>
      <xdr:rowOff>169783</xdr:rowOff>
    </xdr:from>
    <xdr:to>
      <xdr:col>21</xdr:col>
      <xdr:colOff>132655</xdr:colOff>
      <xdr:row>36</xdr:row>
      <xdr:rowOff>184803</xdr:rowOff>
    </xdr:to>
    <xdr:sp macro="" textlink="Berechnungstool!Z57">
      <xdr:nvSpPr>
        <xdr:cNvPr id="15" name="Textfeld 14"/>
        <xdr:cNvSpPr txBox="1"/>
      </xdr:nvSpPr>
      <xdr:spPr>
        <a:xfrm>
          <a:off x="3603304" y="6837283"/>
          <a:ext cx="683716" cy="20552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AF33CF2E-023E-42CA-8CEE-EFB3026DE578}" type="TxLink">
            <a:rPr lang="en-US" sz="1100" b="1" i="0" u="none" strike="noStrike">
              <a:solidFill>
                <a:srgbClr val="FF0000"/>
              </a:solidFill>
              <a:latin typeface="Calibri"/>
              <a:cs typeface="Calibri"/>
            </a:rPr>
            <a:pPr algn="ctr"/>
            <a:t>.....</a:t>
          </a:fld>
          <a:endParaRPr lang="en-US" sz="11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19</xdr:row>
      <xdr:rowOff>161935</xdr:rowOff>
    </xdr:from>
    <xdr:to>
      <xdr:col>32</xdr:col>
      <xdr:colOff>0</xdr:colOff>
      <xdr:row>44</xdr:row>
      <xdr:rowOff>125155</xdr:rowOff>
    </xdr:to>
    <xdr:pic>
      <xdr:nvPicPr>
        <xdr:cNvPr id="2"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781435"/>
          <a:ext cx="6096000" cy="4725720"/>
        </a:xfrm>
        <a:prstGeom prst="rect">
          <a:avLst/>
        </a:prstGeom>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theme="1"/>
  </sheetPr>
  <dimension ref="A1:AF69"/>
  <sheetViews>
    <sheetView tabSelected="1" view="pageLayout" zoomScaleNormal="100" zoomScaleSheetLayoutView="115" workbookViewId="0">
      <selection activeCell="D2" sqref="D2:P2"/>
    </sheetView>
  </sheetViews>
  <sheetFormatPr baseColWidth="10" defaultColWidth="2.375" defaultRowHeight="15" customHeight="1" outlineLevelRow="1" x14ac:dyDescent="0.25"/>
  <cols>
    <col min="1" max="64" width="2.375" style="1" customWidth="1"/>
    <col min="65" max="16384" width="2.375" style="1"/>
  </cols>
  <sheetData>
    <row r="1" spans="1:32" ht="7.5" customHeight="1" x14ac:dyDescent="0.25"/>
    <row r="2" spans="1:32" ht="15" customHeight="1" x14ac:dyDescent="0.25">
      <c r="A2" s="49" t="s">
        <v>273</v>
      </c>
      <c r="D2" s="167"/>
      <c r="E2" s="168"/>
      <c r="F2" s="168"/>
      <c r="G2" s="168"/>
      <c r="H2" s="168"/>
      <c r="I2" s="168"/>
      <c r="J2" s="168"/>
      <c r="K2" s="168"/>
      <c r="L2" s="168"/>
      <c r="M2" s="168"/>
      <c r="N2" s="168"/>
      <c r="O2" s="168"/>
      <c r="P2" s="168"/>
      <c r="Q2" s="49" t="s">
        <v>274</v>
      </c>
      <c r="T2" s="167"/>
      <c r="U2" s="168"/>
      <c r="V2" s="168"/>
      <c r="W2" s="168"/>
      <c r="X2" s="168"/>
      <c r="Y2" s="168"/>
      <c r="Z2" s="168"/>
      <c r="AA2" s="168"/>
      <c r="AB2" s="168"/>
      <c r="AC2" s="168"/>
      <c r="AD2" s="168"/>
      <c r="AE2" s="168"/>
      <c r="AF2" s="168"/>
    </row>
    <row r="3" spans="1:32" ht="15" customHeight="1" x14ac:dyDescent="0.25">
      <c r="A3" s="51"/>
      <c r="B3" s="2"/>
      <c r="C3" s="2"/>
      <c r="D3" s="2"/>
      <c r="E3" s="2"/>
      <c r="F3" s="2"/>
      <c r="G3" s="2"/>
      <c r="H3" s="2"/>
      <c r="I3" s="2"/>
      <c r="J3" s="2"/>
      <c r="K3" s="2"/>
      <c r="L3" s="2"/>
      <c r="M3" s="2"/>
      <c r="N3" s="2"/>
      <c r="O3" s="2"/>
      <c r="P3" s="2"/>
      <c r="Q3" s="2"/>
      <c r="R3" s="100"/>
      <c r="S3" s="2"/>
      <c r="T3" s="2"/>
      <c r="U3" s="2"/>
      <c r="V3" s="2"/>
      <c r="W3" s="2"/>
      <c r="X3" s="2"/>
      <c r="Y3" s="2"/>
      <c r="Z3" s="2"/>
      <c r="AA3" s="2"/>
      <c r="AB3" s="2"/>
      <c r="AC3" s="2"/>
      <c r="AD3" s="2"/>
      <c r="AE3" s="2"/>
      <c r="AF3" s="2"/>
    </row>
    <row r="4" spans="1:32" ht="15" customHeight="1" x14ac:dyDescent="0.25">
      <c r="A4" s="45" t="s">
        <v>194</v>
      </c>
      <c r="B4" s="4"/>
      <c r="C4" s="4"/>
      <c r="D4" s="4"/>
      <c r="E4" s="4"/>
      <c r="F4" s="4"/>
      <c r="G4" s="4"/>
      <c r="H4" s="4"/>
      <c r="I4" s="4"/>
      <c r="J4" s="4"/>
      <c r="K4" s="4"/>
      <c r="L4" s="4"/>
      <c r="M4" s="4"/>
      <c r="N4" s="4"/>
      <c r="O4" s="4"/>
      <c r="P4" s="4"/>
      <c r="Q4" s="2"/>
      <c r="R4" s="100"/>
      <c r="S4" s="2"/>
      <c r="T4" s="2"/>
      <c r="U4" s="2"/>
      <c r="V4" s="2"/>
      <c r="W4" s="2"/>
      <c r="X4" s="2"/>
      <c r="Y4" s="2"/>
      <c r="Z4" s="2"/>
      <c r="AA4" s="2"/>
      <c r="AB4" s="2"/>
      <c r="AC4" s="2"/>
      <c r="AD4" s="2"/>
      <c r="AE4" s="2"/>
      <c r="AF4" s="2"/>
    </row>
    <row r="5" spans="1:32" ht="15" customHeight="1" x14ac:dyDescent="0.25">
      <c r="A5" s="9" t="s">
        <v>21</v>
      </c>
      <c r="B5" s="2"/>
      <c r="C5" s="2"/>
      <c r="D5" s="2"/>
      <c r="E5" s="2"/>
      <c r="F5" s="2"/>
      <c r="G5" s="2"/>
      <c r="H5" s="101"/>
      <c r="I5" s="151"/>
      <c r="J5" s="152"/>
      <c r="K5" s="152"/>
      <c r="L5" s="152"/>
      <c r="M5" s="153"/>
      <c r="N5" s="2" t="s">
        <v>22</v>
      </c>
      <c r="O5" s="2"/>
      <c r="P5" s="10"/>
      <c r="Q5" s="8"/>
      <c r="R5" s="6" t="s">
        <v>58</v>
      </c>
      <c r="S5" s="6"/>
      <c r="T5" s="6"/>
      <c r="U5" s="6"/>
      <c r="V5" s="6"/>
      <c r="W5" s="6"/>
      <c r="X5" s="6"/>
      <c r="Y5" s="6"/>
      <c r="Z5" s="172" t="str">
        <f>IF(AND($I$5&gt;0,$I$6&gt;0),(($I$5*$I$6)+$I$7)/10000,".....")</f>
        <v>.....</v>
      </c>
      <c r="AA5" s="172"/>
      <c r="AB5" s="172"/>
      <c r="AC5" s="172"/>
      <c r="AD5" s="172"/>
      <c r="AE5" s="6" t="s">
        <v>26</v>
      </c>
      <c r="AF5" s="7"/>
    </row>
    <row r="6" spans="1:32" ht="15" customHeight="1" x14ac:dyDescent="0.25">
      <c r="A6" s="9" t="s">
        <v>23</v>
      </c>
      <c r="B6" s="2"/>
      <c r="C6" s="2"/>
      <c r="D6" s="2"/>
      <c r="E6" s="2"/>
      <c r="F6" s="2"/>
      <c r="G6" s="2"/>
      <c r="H6" s="101"/>
      <c r="I6" s="151"/>
      <c r="J6" s="152"/>
      <c r="K6" s="152"/>
      <c r="L6" s="152"/>
      <c r="M6" s="153"/>
      <c r="N6" s="2" t="s">
        <v>22</v>
      </c>
      <c r="O6" s="2"/>
      <c r="P6" s="10"/>
      <c r="Q6" s="12"/>
      <c r="R6" s="2" t="s">
        <v>59</v>
      </c>
      <c r="S6" s="2"/>
      <c r="T6" s="2"/>
      <c r="U6" s="2"/>
      <c r="V6" s="2"/>
      <c r="W6" s="2"/>
      <c r="X6" s="2"/>
      <c r="Y6" s="2"/>
      <c r="Z6" s="173" t="str">
        <f>IF($Z$5=".....",".....",$I$12*$Z$5)</f>
        <v>.....</v>
      </c>
      <c r="AA6" s="173"/>
      <c r="AB6" s="173"/>
      <c r="AC6" s="173"/>
      <c r="AD6" s="173"/>
      <c r="AE6" s="2" t="s">
        <v>26</v>
      </c>
      <c r="AF6" s="10"/>
    </row>
    <row r="7" spans="1:32" ht="15" customHeight="1" x14ac:dyDescent="0.25">
      <c r="A7" s="9" t="s">
        <v>24</v>
      </c>
      <c r="B7" s="2"/>
      <c r="C7" s="2"/>
      <c r="D7" s="2"/>
      <c r="E7" s="2"/>
      <c r="F7" s="2"/>
      <c r="G7" s="2"/>
      <c r="H7" s="101"/>
      <c r="I7" s="151"/>
      <c r="J7" s="152"/>
      <c r="K7" s="152"/>
      <c r="L7" s="152"/>
      <c r="M7" s="153"/>
      <c r="N7" s="2" t="s">
        <v>25</v>
      </c>
      <c r="O7" s="2"/>
      <c r="P7" s="10"/>
      <c r="Q7" s="12"/>
      <c r="AF7" s="10"/>
    </row>
    <row r="8" spans="1:32" ht="15" customHeight="1" x14ac:dyDescent="0.25">
      <c r="A8" s="9" t="s">
        <v>259</v>
      </c>
      <c r="B8" s="2"/>
      <c r="C8" s="2"/>
      <c r="D8" s="2"/>
      <c r="E8" s="2"/>
      <c r="F8" s="2"/>
      <c r="G8" s="2"/>
      <c r="H8" s="101"/>
      <c r="I8" s="124"/>
      <c r="J8" s="125"/>
      <c r="K8" s="125"/>
      <c r="L8" s="125"/>
      <c r="M8" s="126"/>
      <c r="N8" s="2" t="s">
        <v>64</v>
      </c>
      <c r="O8" s="2"/>
      <c r="P8" s="2"/>
      <c r="Q8" s="12"/>
      <c r="R8" s="2" t="s">
        <v>50</v>
      </c>
      <c r="S8" s="2"/>
      <c r="T8" s="2"/>
      <c r="U8" s="2"/>
      <c r="V8" s="2"/>
      <c r="W8" s="2"/>
      <c r="X8" s="2"/>
      <c r="Y8" s="2"/>
      <c r="Z8" s="145" t="str">
        <f>IF(OR($I$14=".....",$Z$5="....."),".....",$I$14*$Z$6)</f>
        <v>.....</v>
      </c>
      <c r="AA8" s="145"/>
      <c r="AB8" s="145"/>
      <c r="AC8" s="145"/>
      <c r="AD8" s="145"/>
      <c r="AE8" s="2" t="s">
        <v>44</v>
      </c>
      <c r="AF8" s="10"/>
    </row>
    <row r="9" spans="1:32" ht="15" customHeight="1" x14ac:dyDescent="0.25">
      <c r="A9" s="9" t="s">
        <v>0</v>
      </c>
      <c r="B9" s="14"/>
      <c r="C9" s="14"/>
      <c r="D9" s="14"/>
      <c r="E9" s="14"/>
      <c r="F9" s="2"/>
      <c r="G9" s="2"/>
      <c r="H9" s="101"/>
      <c r="I9" s="148"/>
      <c r="J9" s="149"/>
      <c r="K9" s="149"/>
      <c r="L9" s="149"/>
      <c r="M9" s="150"/>
      <c r="Q9" s="12"/>
      <c r="R9" s="2" t="s">
        <v>261</v>
      </c>
      <c r="S9" s="2"/>
      <c r="T9" s="2"/>
      <c r="U9" s="2"/>
      <c r="V9" s="2"/>
      <c r="W9" s="2"/>
      <c r="X9" s="2"/>
      <c r="Y9" s="2"/>
      <c r="Z9" s="146" t="str">
        <f>IF(OR($I$5="",$I$6="",$I$8="",$I$9="",$I$10=""),".....",IF(VLOOKUP(TRUE,'5'!$N$10:$AD$11,5,FALSE)&gt;0,MROUND($Z$8*VLOOKUP(TRUE,'5'!$N$10:$AD$11,5,FALSE),0.5),MROUND($Z$8*VLOOKUP(TRUE,'5'!$N$10:$AD$11,5,FALSE),-0.5)))</f>
        <v>.....</v>
      </c>
      <c r="AA9" s="146"/>
      <c r="AB9" s="146"/>
      <c r="AC9" s="146"/>
      <c r="AD9" s="146"/>
      <c r="AE9" s="2" t="s">
        <v>44</v>
      </c>
      <c r="AF9" s="10"/>
    </row>
    <row r="10" spans="1:32" ht="15" customHeight="1" x14ac:dyDescent="0.25">
      <c r="A10" s="9" t="s">
        <v>4</v>
      </c>
      <c r="B10" s="2"/>
      <c r="C10" s="2"/>
      <c r="D10" s="2"/>
      <c r="E10" s="2"/>
      <c r="F10" s="2"/>
      <c r="G10" s="2"/>
      <c r="H10" s="101"/>
      <c r="I10" s="148"/>
      <c r="J10" s="149"/>
      <c r="K10" s="149"/>
      <c r="L10" s="149"/>
      <c r="M10" s="150"/>
      <c r="N10" s="2" t="s">
        <v>6</v>
      </c>
      <c r="O10" s="2"/>
      <c r="P10" s="10"/>
      <c r="Q10" s="12"/>
      <c r="R10" s="2" t="s">
        <v>51</v>
      </c>
      <c r="S10" s="2"/>
      <c r="T10" s="2"/>
      <c r="U10" s="2"/>
      <c r="V10" s="2"/>
      <c r="W10" s="2"/>
      <c r="X10" s="2"/>
      <c r="Y10" s="2"/>
      <c r="Z10" s="146" t="str">
        <f>IF($I$11="",".....",VLOOKUP(TRUE,'4'!G9:V12,9,FALSE))</f>
        <v>.....</v>
      </c>
      <c r="AA10" s="146"/>
      <c r="AB10" s="146"/>
      <c r="AC10" s="146"/>
      <c r="AD10" s="146"/>
      <c r="AE10" s="2" t="s">
        <v>44</v>
      </c>
      <c r="AF10" s="10"/>
    </row>
    <row r="11" spans="1:32" ht="15" customHeight="1" x14ac:dyDescent="0.25">
      <c r="A11" s="15" t="s">
        <v>49</v>
      </c>
      <c r="B11" s="16"/>
      <c r="C11" s="16"/>
      <c r="D11" s="16"/>
      <c r="E11" s="16"/>
      <c r="F11" s="16"/>
      <c r="G11" s="16"/>
      <c r="H11" s="102"/>
      <c r="I11" s="164"/>
      <c r="J11" s="165"/>
      <c r="K11" s="165"/>
      <c r="L11" s="165"/>
      <c r="M11" s="166"/>
      <c r="N11" s="16"/>
      <c r="O11" s="16"/>
      <c r="P11" s="17"/>
      <c r="Q11" s="18"/>
      <c r="R11" s="16" t="s">
        <v>43</v>
      </c>
      <c r="S11" s="19"/>
      <c r="T11" s="19"/>
      <c r="U11" s="19"/>
      <c r="V11" s="19"/>
      <c r="W11" s="19"/>
      <c r="X11" s="19"/>
      <c r="Y11" s="19"/>
      <c r="Z11" s="144" t="str">
        <f>IF(OR($Z$8=".....",$Z$9=".....", $Z$10="....."),".....",$Z$8+$Z$9+$Z$10)</f>
        <v>.....</v>
      </c>
      <c r="AA11" s="144"/>
      <c r="AB11" s="144"/>
      <c r="AC11" s="144"/>
      <c r="AD11" s="144"/>
      <c r="AE11" s="16" t="s">
        <v>44</v>
      </c>
      <c r="AF11" s="20"/>
    </row>
    <row r="12" spans="1:32" s="2" customFormat="1" ht="15" hidden="1" customHeight="1" outlineLevel="1" x14ac:dyDescent="0.25">
      <c r="A12" s="5" t="s">
        <v>27</v>
      </c>
      <c r="B12" s="6"/>
      <c r="C12" s="6"/>
      <c r="D12" s="6"/>
      <c r="E12" s="6"/>
      <c r="F12" s="6"/>
      <c r="G12" s="6"/>
      <c r="H12" s="6"/>
      <c r="I12" s="110">
        <v>0.9</v>
      </c>
      <c r="J12" s="110"/>
      <c r="K12" s="110"/>
      <c r="L12" s="110"/>
      <c r="M12" s="110"/>
      <c r="N12" s="6"/>
      <c r="O12" s="6"/>
      <c r="P12" s="6"/>
      <c r="Q12" s="6"/>
      <c r="R12" s="99"/>
      <c r="S12" s="6"/>
      <c r="T12" s="6"/>
      <c r="U12" s="6"/>
      <c r="V12" s="6"/>
      <c r="W12" s="6"/>
      <c r="X12" s="6"/>
      <c r="Y12" s="6"/>
      <c r="Z12" s="6"/>
      <c r="AA12" s="6"/>
      <c r="AB12" s="6"/>
      <c r="AC12" s="6"/>
      <c r="AD12" s="6"/>
      <c r="AE12" s="6"/>
      <c r="AF12" s="7"/>
    </row>
    <row r="13" spans="1:32" s="2" customFormat="1" ht="15" hidden="1" customHeight="1" outlineLevel="1" x14ac:dyDescent="0.25">
      <c r="A13" s="9" t="s">
        <v>28</v>
      </c>
      <c r="I13" s="155">
        <f>0.25+VLOOKUP(TRUE,'2'!M9:AA11,11,FALSE)</f>
        <v>0.25</v>
      </c>
      <c r="J13" s="156"/>
      <c r="K13" s="156"/>
      <c r="L13" s="156"/>
      <c r="M13" s="157"/>
      <c r="N13" s="2" t="s">
        <v>5</v>
      </c>
      <c r="R13" s="11"/>
      <c r="AF13" s="10"/>
    </row>
    <row r="14" spans="1:32" s="2" customFormat="1" ht="15" hidden="1" customHeight="1" outlineLevel="1" x14ac:dyDescent="0.25">
      <c r="A14" s="15" t="s">
        <v>9</v>
      </c>
      <c r="B14" s="16"/>
      <c r="C14" s="16"/>
      <c r="D14" s="16"/>
      <c r="E14" s="16"/>
      <c r="F14" s="16"/>
      <c r="G14" s="16"/>
      <c r="H14" s="16"/>
      <c r="I14" s="113" t="str">
        <f>IF(OR($I$9="",$I$10=""),".....",VLOOKUP(TRUE,'3'!N7:AC30,11,FALSE))</f>
        <v>.....</v>
      </c>
      <c r="J14" s="113"/>
      <c r="K14" s="113"/>
      <c r="L14" s="113"/>
      <c r="M14" s="113"/>
      <c r="N14" s="16" t="s">
        <v>13</v>
      </c>
      <c r="O14" s="16"/>
      <c r="P14" s="16"/>
      <c r="Q14" s="16"/>
      <c r="R14" s="34"/>
      <c r="S14" s="16"/>
      <c r="T14" s="16"/>
      <c r="U14" s="16"/>
      <c r="V14" s="16"/>
      <c r="W14" s="16"/>
      <c r="X14" s="16"/>
      <c r="Y14" s="16"/>
      <c r="Z14" s="16"/>
      <c r="AA14" s="16"/>
      <c r="AB14" s="16"/>
      <c r="AC14" s="16"/>
      <c r="AD14" s="16"/>
      <c r="AE14" s="16"/>
      <c r="AF14" s="17"/>
    </row>
    <row r="15" spans="1:32" ht="15" customHeight="1" collapsed="1" x14ac:dyDescent="0.25">
      <c r="A15" s="25" t="str">
        <f>IF(I7&gt;0,"Bitte prüfen, ob die zusätzlich angeschlossenen Flächen eine zusätzliche Behandlung benötigen.","")</f>
        <v/>
      </c>
      <c r="Q15" s="2"/>
      <c r="R15" s="11"/>
      <c r="AD15" s="2"/>
      <c r="AE15" s="2"/>
      <c r="AF15" s="2"/>
    </row>
    <row r="16" spans="1:32" ht="15" customHeight="1" x14ac:dyDescent="0.25">
      <c r="Q16" s="2"/>
      <c r="R16" s="11"/>
      <c r="AD16" s="2"/>
      <c r="AE16" s="2"/>
      <c r="AF16" s="2"/>
    </row>
    <row r="17" spans="1:32" ht="15" customHeight="1" x14ac:dyDescent="0.25">
      <c r="A17" s="45" t="s">
        <v>73</v>
      </c>
      <c r="B17" s="63"/>
      <c r="C17" s="63"/>
      <c r="D17" s="63"/>
      <c r="E17" s="63"/>
      <c r="F17" s="63"/>
      <c r="G17" s="63"/>
      <c r="H17" s="63"/>
      <c r="I17" s="63"/>
      <c r="J17" s="63"/>
      <c r="K17" s="63"/>
      <c r="L17" s="63"/>
      <c r="M17" s="63"/>
      <c r="N17" s="63"/>
      <c r="O17" s="63"/>
      <c r="P17" s="63"/>
      <c r="Q17" s="2"/>
      <c r="R17" s="11"/>
      <c r="S17" s="2"/>
    </row>
    <row r="18" spans="1:32" ht="15" customHeight="1" x14ac:dyDescent="0.25">
      <c r="A18" s="9" t="s">
        <v>61</v>
      </c>
      <c r="B18" s="2"/>
      <c r="C18" s="2"/>
      <c r="D18" s="2"/>
      <c r="E18" s="2"/>
      <c r="F18" s="2"/>
      <c r="G18" s="2"/>
      <c r="H18" s="2"/>
      <c r="I18" s="161"/>
      <c r="J18" s="162"/>
      <c r="K18" s="162"/>
      <c r="L18" s="162"/>
      <c r="M18" s="163"/>
      <c r="N18" s="2" t="s">
        <v>60</v>
      </c>
      <c r="O18" s="2"/>
      <c r="P18" s="10"/>
      <c r="Q18" s="8"/>
      <c r="R18" s="6"/>
      <c r="S18" s="6"/>
      <c r="T18" s="6"/>
      <c r="U18" s="6"/>
      <c r="V18" s="6"/>
      <c r="W18" s="6"/>
      <c r="X18" s="6"/>
      <c r="Y18" s="6"/>
      <c r="Z18" s="136"/>
      <c r="AA18" s="136"/>
      <c r="AB18" s="136"/>
      <c r="AC18" s="136"/>
      <c r="AD18" s="136"/>
      <c r="AE18" s="6"/>
      <c r="AF18" s="7"/>
    </row>
    <row r="19" spans="1:32" ht="15" customHeight="1" x14ac:dyDescent="0.25">
      <c r="A19" s="9" t="s">
        <v>62</v>
      </c>
      <c r="B19" s="2"/>
      <c r="C19" s="2"/>
      <c r="D19" s="2"/>
      <c r="E19" s="2"/>
      <c r="F19" s="2"/>
      <c r="G19" s="2"/>
      <c r="H19" s="2"/>
      <c r="I19" s="151"/>
      <c r="J19" s="152"/>
      <c r="K19" s="152"/>
      <c r="L19" s="152"/>
      <c r="M19" s="153"/>
      <c r="N19" s="2" t="s">
        <v>64</v>
      </c>
      <c r="O19" s="2"/>
      <c r="P19" s="10"/>
      <c r="Q19" s="12"/>
      <c r="R19" s="2"/>
      <c r="S19" s="2"/>
      <c r="T19" s="2"/>
      <c r="U19" s="2"/>
      <c r="V19" s="2"/>
      <c r="W19" s="2"/>
      <c r="X19" s="2"/>
      <c r="Y19" s="2"/>
      <c r="Z19" s="170"/>
      <c r="AA19" s="170"/>
      <c r="AB19" s="170"/>
      <c r="AC19" s="170"/>
      <c r="AD19" s="170"/>
      <c r="AE19" s="2"/>
      <c r="AF19" s="10"/>
    </row>
    <row r="20" spans="1:32" ht="15" customHeight="1" x14ac:dyDescent="0.25">
      <c r="A20" s="9" t="s">
        <v>260</v>
      </c>
      <c r="B20" s="2"/>
      <c r="C20" s="2"/>
      <c r="D20" s="2"/>
      <c r="E20" s="2"/>
      <c r="F20" s="2"/>
      <c r="G20" s="2"/>
      <c r="H20" s="2"/>
      <c r="I20" s="151"/>
      <c r="J20" s="152"/>
      <c r="K20" s="152"/>
      <c r="L20" s="152"/>
      <c r="M20" s="153"/>
      <c r="N20" s="2" t="s">
        <v>64</v>
      </c>
      <c r="O20" s="2"/>
      <c r="P20" s="10"/>
      <c r="Q20" s="12"/>
      <c r="R20" s="11"/>
      <c r="S20" s="2"/>
      <c r="T20" s="2"/>
      <c r="U20" s="2"/>
      <c r="V20" s="2"/>
      <c r="W20" s="2"/>
      <c r="X20" s="2"/>
      <c r="Y20" s="2"/>
      <c r="Z20" s="14"/>
      <c r="AA20" s="14"/>
      <c r="AB20" s="14"/>
      <c r="AC20" s="14"/>
      <c r="AD20" s="14"/>
      <c r="AE20" s="2"/>
      <c r="AF20" s="10"/>
    </row>
    <row r="21" spans="1:32" ht="15" customHeight="1" x14ac:dyDescent="0.25">
      <c r="A21" s="9" t="s">
        <v>67</v>
      </c>
      <c r="B21" s="2"/>
      <c r="C21" s="2"/>
      <c r="D21" s="2"/>
      <c r="E21" s="2"/>
      <c r="F21" s="2"/>
      <c r="G21" s="2"/>
      <c r="H21" s="2"/>
      <c r="I21" s="151"/>
      <c r="J21" s="152"/>
      <c r="K21" s="152"/>
      <c r="L21" s="152"/>
      <c r="M21" s="153"/>
      <c r="N21" s="2"/>
      <c r="O21" s="2"/>
      <c r="P21" s="10"/>
      <c r="Q21" s="12"/>
      <c r="R21" s="2" t="s">
        <v>72</v>
      </c>
      <c r="S21" s="2"/>
      <c r="T21" s="2"/>
      <c r="U21" s="2"/>
      <c r="V21" s="2"/>
      <c r="W21" s="2"/>
      <c r="X21" s="2"/>
      <c r="Y21" s="2"/>
      <c r="Z21" s="111" t="str">
        <f>IF(OR($I$23=".....",$I$24=".....",$I$25="....."),".....",SUM($I$23:$M$25))</f>
        <v>.....</v>
      </c>
      <c r="AA21" s="111"/>
      <c r="AB21" s="111"/>
      <c r="AC21" s="111"/>
      <c r="AD21" s="111"/>
      <c r="AE21" s="2" t="s">
        <v>81</v>
      </c>
      <c r="AF21" s="10"/>
    </row>
    <row r="22" spans="1:32" ht="15" customHeight="1" x14ac:dyDescent="0.25">
      <c r="A22" s="15" t="s">
        <v>66</v>
      </c>
      <c r="B22" s="16"/>
      <c r="C22" s="16"/>
      <c r="D22" s="16"/>
      <c r="E22" s="16"/>
      <c r="F22" s="16"/>
      <c r="G22" s="16"/>
      <c r="H22" s="16"/>
      <c r="I22" s="158"/>
      <c r="J22" s="159"/>
      <c r="K22" s="159"/>
      <c r="L22" s="159"/>
      <c r="M22" s="160"/>
      <c r="N22" s="16" t="s">
        <v>71</v>
      </c>
      <c r="O22" s="16"/>
      <c r="P22" s="17"/>
      <c r="Q22" s="21"/>
      <c r="R22" s="16" t="s">
        <v>19</v>
      </c>
      <c r="S22" s="16"/>
      <c r="T22" s="16"/>
      <c r="U22" s="16"/>
      <c r="V22" s="16"/>
      <c r="W22" s="16"/>
      <c r="X22" s="16"/>
      <c r="Y22" s="16"/>
      <c r="Z22" s="135" t="str">
        <f>IF($Z$21=".....",".....",IF($Z$21&lt;5,'1'!$G$12,IF($Z$21&gt;14,'1'!$G$14,'1'!$G$13)))</f>
        <v>.....</v>
      </c>
      <c r="AA22" s="135"/>
      <c r="AB22" s="135"/>
      <c r="AC22" s="135"/>
      <c r="AD22" s="135"/>
      <c r="AE22" s="16"/>
      <c r="AF22" s="17"/>
    </row>
    <row r="23" spans="1:32" ht="15" hidden="1" customHeight="1" outlineLevel="1" x14ac:dyDescent="0.25">
      <c r="A23" s="5" t="s">
        <v>86</v>
      </c>
      <c r="B23" s="6"/>
      <c r="C23" s="6"/>
      <c r="D23" s="6"/>
      <c r="E23" s="6"/>
      <c r="F23" s="6"/>
      <c r="G23" s="6"/>
      <c r="H23" s="6"/>
      <c r="I23" s="142" t="str">
        <f>IF($I$18="",".....",$I$18/1000)</f>
        <v>.....</v>
      </c>
      <c r="J23" s="142"/>
      <c r="K23" s="142"/>
      <c r="L23" s="142"/>
      <c r="M23" s="142"/>
      <c r="N23" s="6" t="s">
        <v>81</v>
      </c>
      <c r="O23" s="6"/>
      <c r="P23" s="6"/>
      <c r="Q23" s="6"/>
      <c r="R23" s="6"/>
      <c r="S23" s="6"/>
      <c r="T23" s="6"/>
      <c r="U23" s="6"/>
      <c r="V23" s="6"/>
      <c r="W23" s="6"/>
      <c r="X23" s="6"/>
      <c r="Y23" s="6"/>
      <c r="Z23" s="56"/>
      <c r="AA23" s="56"/>
      <c r="AB23" s="56"/>
      <c r="AC23" s="56"/>
      <c r="AD23" s="56"/>
      <c r="AE23" s="6"/>
      <c r="AF23" s="7"/>
    </row>
    <row r="24" spans="1:32" ht="15" hidden="1" customHeight="1" outlineLevel="1" x14ac:dyDescent="0.25">
      <c r="A24" s="9" t="s">
        <v>87</v>
      </c>
      <c r="B24" s="2"/>
      <c r="C24" s="2"/>
      <c r="D24" s="2"/>
      <c r="E24" s="2"/>
      <c r="F24" s="2"/>
      <c r="G24" s="2"/>
      <c r="H24" s="2"/>
      <c r="I24" s="140" t="str">
        <f>IF(OR($I$19="",$I$20="",$I$21="",$I$22=""),".....",VLOOKUP(TRUE,'6'!Q7:Z18,5,FALSE))</f>
        <v>.....</v>
      </c>
      <c r="J24" s="140"/>
      <c r="K24" s="140"/>
      <c r="L24" s="140"/>
      <c r="M24" s="140"/>
      <c r="N24" s="2" t="s">
        <v>81</v>
      </c>
      <c r="O24" s="2"/>
      <c r="P24" s="2"/>
      <c r="Q24" s="2"/>
      <c r="R24" s="2"/>
      <c r="S24" s="2"/>
      <c r="T24" s="2"/>
      <c r="U24" s="2"/>
      <c r="V24" s="2"/>
      <c r="W24" s="2"/>
      <c r="X24" s="2"/>
      <c r="Y24" s="2"/>
      <c r="Z24" s="22"/>
      <c r="AA24" s="22"/>
      <c r="AB24" s="22"/>
      <c r="AC24" s="22"/>
      <c r="AD24" s="22"/>
      <c r="AE24" s="2"/>
      <c r="AF24" s="10"/>
    </row>
    <row r="25" spans="1:32" ht="15" hidden="1" customHeight="1" outlineLevel="1" x14ac:dyDescent="0.25">
      <c r="A25" s="15" t="s">
        <v>66</v>
      </c>
      <c r="B25" s="16"/>
      <c r="C25" s="16"/>
      <c r="D25" s="16"/>
      <c r="E25" s="16"/>
      <c r="F25" s="16"/>
      <c r="G25" s="16"/>
      <c r="H25" s="16"/>
      <c r="I25" s="143" t="str">
        <f>IF($I$22="",".....",$I$22/12*(-1))</f>
        <v>.....</v>
      </c>
      <c r="J25" s="143"/>
      <c r="K25" s="143"/>
      <c r="L25" s="143"/>
      <c r="M25" s="143"/>
      <c r="N25" s="16" t="s">
        <v>81</v>
      </c>
      <c r="O25" s="16"/>
      <c r="P25" s="16"/>
      <c r="Q25" s="16"/>
      <c r="R25" s="16"/>
      <c r="S25" s="16"/>
      <c r="T25" s="16"/>
      <c r="U25" s="16"/>
      <c r="V25" s="16"/>
      <c r="W25" s="16"/>
      <c r="X25" s="16"/>
      <c r="Y25" s="16"/>
      <c r="Z25" s="57"/>
      <c r="AA25" s="57"/>
      <c r="AB25" s="57"/>
      <c r="AC25" s="57"/>
      <c r="AD25" s="57"/>
      <c r="AE25" s="16"/>
      <c r="AF25" s="17"/>
    </row>
    <row r="26" spans="1:32" ht="15" customHeight="1" collapsed="1" x14ac:dyDescent="0.25">
      <c r="A26" s="23"/>
      <c r="I26" s="24"/>
      <c r="J26" s="24"/>
      <c r="K26" s="24"/>
      <c r="L26" s="24"/>
      <c r="M26" s="24"/>
      <c r="Q26" s="2"/>
      <c r="R26" s="11"/>
      <c r="S26" s="2"/>
    </row>
    <row r="27" spans="1:32" ht="15" customHeight="1" x14ac:dyDescent="0.25">
      <c r="A27" s="25"/>
      <c r="I27" s="24"/>
      <c r="J27" s="24"/>
      <c r="K27" s="24"/>
      <c r="L27" s="24"/>
      <c r="M27" s="24"/>
      <c r="Q27" s="2"/>
      <c r="R27" s="11"/>
      <c r="S27" s="2"/>
    </row>
    <row r="28" spans="1:32" s="27" customFormat="1" ht="15" customHeight="1" x14ac:dyDescent="0.25">
      <c r="A28" s="45" t="s">
        <v>184</v>
      </c>
      <c r="B28" s="4"/>
      <c r="C28" s="4"/>
      <c r="D28" s="4"/>
      <c r="E28" s="4"/>
      <c r="F28" s="4"/>
      <c r="G28" s="4"/>
      <c r="H28" s="4"/>
      <c r="I28" s="26"/>
      <c r="J28" s="26"/>
      <c r="K28" s="26"/>
      <c r="L28" s="26"/>
      <c r="M28" s="26"/>
      <c r="N28" s="4"/>
      <c r="O28" s="4"/>
      <c r="P28" s="91"/>
      <c r="Q28" s="92"/>
      <c r="R28" s="4" t="str">
        <f>IF($I$35="zentral","","Dezentrale Versickerung (Schulter / Bankett)")</f>
        <v>Dezentrale Versickerung (Schulter / Bankett)</v>
      </c>
      <c r="S28" s="4"/>
      <c r="T28" s="4"/>
      <c r="U28" s="4"/>
      <c r="V28" s="4"/>
      <c r="W28" s="4"/>
      <c r="X28" s="4"/>
      <c r="Y28" s="26"/>
      <c r="Z28" s="26"/>
      <c r="AA28" s="26"/>
      <c r="AB28" s="26"/>
      <c r="AC28" s="26"/>
      <c r="AD28" s="4"/>
      <c r="AE28" s="4"/>
      <c r="AF28" s="4"/>
    </row>
    <row r="29" spans="1:32" s="27" customFormat="1" ht="15" customHeight="1" x14ac:dyDescent="0.25">
      <c r="A29" s="30" t="s">
        <v>185</v>
      </c>
      <c r="B29" s="28"/>
      <c r="C29" s="28"/>
      <c r="D29" s="28"/>
      <c r="E29" s="28"/>
      <c r="F29" s="28"/>
      <c r="G29" s="28"/>
      <c r="H29" s="28"/>
      <c r="I29" s="117"/>
      <c r="J29" s="117"/>
      <c r="K29" s="117"/>
      <c r="L29" s="117"/>
      <c r="M29" s="117"/>
      <c r="N29" s="11" t="s">
        <v>188</v>
      </c>
      <c r="O29" s="28"/>
      <c r="P29" s="31"/>
      <c r="Q29" s="32"/>
      <c r="R29" s="11" t="str">
        <f>IF(I35="zentral","","Belastungsstreifen (2x) je")</f>
        <v>Belastungsstreifen (2x) je</v>
      </c>
      <c r="S29" s="11"/>
      <c r="T29" s="11"/>
      <c r="U29" s="11"/>
      <c r="V29" s="11"/>
      <c r="W29" s="11"/>
      <c r="X29" s="11"/>
      <c r="Y29" s="11"/>
      <c r="Z29" s="108" t="str">
        <f>IF($I$35="zentral","",IF($I$18="",".....",VLOOKUP(TRUE,'8'!H8:T11,5,FALSE)))</f>
        <v>.....</v>
      </c>
      <c r="AA29" s="108"/>
      <c r="AB29" s="108"/>
      <c r="AC29" s="108"/>
      <c r="AD29" s="108"/>
      <c r="AE29" s="11" t="str">
        <f>IF($I$35="zentral","","m")</f>
        <v>m</v>
      </c>
      <c r="AF29" s="58"/>
    </row>
    <row r="30" spans="1:32" s="27" customFormat="1" ht="15" customHeight="1" x14ac:dyDescent="0.25">
      <c r="A30" s="30" t="s">
        <v>186</v>
      </c>
      <c r="B30" s="28"/>
      <c r="C30" s="28"/>
      <c r="D30" s="28"/>
      <c r="E30" s="28"/>
      <c r="F30" s="28"/>
      <c r="G30" s="28"/>
      <c r="H30" s="28"/>
      <c r="I30" s="117"/>
      <c r="J30" s="117"/>
      <c r="K30" s="117"/>
      <c r="L30" s="117"/>
      <c r="M30" s="117"/>
      <c r="N30" s="11" t="s">
        <v>189</v>
      </c>
      <c r="O30" s="28"/>
      <c r="P30" s="31"/>
      <c r="Q30" s="32"/>
      <c r="R30" s="11" t="str">
        <f>IF($I$35="zentral","","Versickerungsfläche")</f>
        <v>Versickerungsfläche</v>
      </c>
      <c r="S30" s="11"/>
      <c r="T30" s="11"/>
      <c r="U30" s="11"/>
      <c r="V30" s="11"/>
      <c r="W30" s="11"/>
      <c r="X30" s="11"/>
      <c r="Y30" s="11"/>
      <c r="Z30" s="171" t="str">
        <f>IF($I$35="zentral","",IF(OR($I$5="",$Z$29="....."),".....",$Z$29*$I$5/10000*2))</f>
        <v>.....</v>
      </c>
      <c r="AA30" s="171"/>
      <c r="AB30" s="171"/>
      <c r="AC30" s="171"/>
      <c r="AD30" s="171"/>
      <c r="AE30" s="51" t="str">
        <f>IF($I$35="zentral","","ha")</f>
        <v>ha</v>
      </c>
      <c r="AF30" s="58"/>
    </row>
    <row r="31" spans="1:32" s="27" customFormat="1" ht="15" customHeight="1" x14ac:dyDescent="0.25">
      <c r="A31" s="30" t="s">
        <v>132</v>
      </c>
      <c r="B31" s="28"/>
      <c r="C31" s="28"/>
      <c r="D31" s="28"/>
      <c r="E31" s="11"/>
      <c r="F31" s="130" t="str">
        <f>IF(AND(I29&gt;0,I30&gt;0),HYPERLINK(CONCATENATE("https://map.geo.gr.ch/gewaesserschutz?map_x=",I29,"&amp;map_y=",I30,"&amp;map_zoom=13"),"(Karte)"),"")</f>
        <v/>
      </c>
      <c r="G31" s="130"/>
      <c r="H31" s="169"/>
      <c r="I31" s="139"/>
      <c r="J31" s="139"/>
      <c r="K31" s="139"/>
      <c r="L31" s="139"/>
      <c r="M31" s="139"/>
      <c r="Q31" s="32"/>
      <c r="R31" s="11" t="str">
        <f>IF($I$35="zentral","","Versickerungsfläche")</f>
        <v>Versickerungsfläche</v>
      </c>
      <c r="S31" s="11"/>
      <c r="T31" s="11"/>
      <c r="U31" s="11"/>
      <c r="V31" s="11"/>
      <c r="W31" s="11"/>
      <c r="X31" s="11"/>
      <c r="Y31" s="11"/>
      <c r="Z31" s="107" t="str">
        <f>IF($I$35="zentral","",IF($I$34=".....",".....",IF($I$34&lt;=5, "ausreichend","unzureichend")))</f>
        <v>.....</v>
      </c>
      <c r="AA31" s="107"/>
      <c r="AB31" s="107"/>
      <c r="AC31" s="107"/>
      <c r="AD31" s="107"/>
      <c r="AE31" s="11"/>
      <c r="AF31" s="58"/>
    </row>
    <row r="32" spans="1:32" s="27" customFormat="1" ht="15" customHeight="1" x14ac:dyDescent="0.25">
      <c r="A32" s="30" t="s">
        <v>140</v>
      </c>
      <c r="B32" s="28"/>
      <c r="C32" s="28"/>
      <c r="D32" s="28"/>
      <c r="E32" s="28"/>
      <c r="F32" s="28"/>
      <c r="G32" s="28"/>
      <c r="H32" s="28"/>
      <c r="I32" s="154"/>
      <c r="J32" s="154"/>
      <c r="K32" s="154"/>
      <c r="L32" s="154"/>
      <c r="M32" s="154"/>
      <c r="N32" s="11"/>
      <c r="O32" s="28"/>
      <c r="P32" s="31"/>
      <c r="Q32" s="12"/>
      <c r="R32" s="51" t="str">
        <f>IF($Z$31="unzureichend","Versickerung erfolgt ausserhalb Strassenraum.","")</f>
        <v/>
      </c>
      <c r="AE32" s="28"/>
      <c r="AF32" s="31"/>
    </row>
    <row r="33" spans="1:32" s="27" customFormat="1" ht="15" hidden="1" customHeight="1" outlineLevel="1" x14ac:dyDescent="0.25">
      <c r="A33" s="71" t="s">
        <v>209</v>
      </c>
      <c r="B33" s="72"/>
      <c r="C33" s="72"/>
      <c r="D33" s="72"/>
      <c r="E33" s="72"/>
      <c r="F33" s="72"/>
      <c r="G33" s="72"/>
      <c r="H33" s="72"/>
      <c r="I33" s="97"/>
      <c r="J33" s="97"/>
      <c r="K33" s="97"/>
      <c r="L33" s="97"/>
      <c r="M33" s="97"/>
      <c r="N33" s="72"/>
      <c r="O33" s="72"/>
      <c r="P33" s="73"/>
      <c r="Q33" s="6"/>
      <c r="R33" s="72"/>
      <c r="S33" s="74"/>
      <c r="T33" s="74"/>
      <c r="U33" s="74"/>
      <c r="V33" s="74"/>
      <c r="W33" s="74"/>
      <c r="X33" s="74"/>
      <c r="Y33" s="74"/>
      <c r="Z33" s="75"/>
      <c r="AA33" s="75"/>
      <c r="AB33" s="75"/>
      <c r="AC33" s="75"/>
      <c r="AD33" s="75"/>
      <c r="AE33" s="74"/>
      <c r="AF33" s="76"/>
    </row>
    <row r="34" spans="1:32" s="27" customFormat="1" ht="15" hidden="1" customHeight="1" outlineLevel="1" x14ac:dyDescent="0.25">
      <c r="A34" s="70" t="s">
        <v>208</v>
      </c>
      <c r="B34" s="34"/>
      <c r="C34" s="34"/>
      <c r="D34" s="34"/>
      <c r="E34" s="34"/>
      <c r="F34" s="34"/>
      <c r="G34" s="34"/>
      <c r="H34" s="34"/>
      <c r="I34" s="147" t="str">
        <f>IF($Z$30=0,999,IF(OR($Z$6=".....",$Z$30="....."),".....",$Z$6/$Z$30))</f>
        <v>.....</v>
      </c>
      <c r="J34" s="147"/>
      <c r="K34" s="147"/>
      <c r="L34" s="147"/>
      <c r="M34" s="147"/>
      <c r="N34" s="34"/>
      <c r="O34" s="34"/>
      <c r="P34" s="95"/>
      <c r="Q34" s="16"/>
      <c r="R34" s="34"/>
      <c r="S34" s="33"/>
      <c r="T34" s="33"/>
      <c r="U34" s="33"/>
      <c r="V34" s="33"/>
      <c r="W34" s="33"/>
      <c r="X34" s="33"/>
      <c r="Y34" s="33"/>
      <c r="Z34" s="88"/>
      <c r="AA34" s="88"/>
      <c r="AB34" s="88"/>
      <c r="AC34" s="88"/>
      <c r="AD34" s="88"/>
      <c r="AE34" s="33"/>
      <c r="AF34" s="35"/>
    </row>
    <row r="35" spans="1:32" s="27" customFormat="1" ht="15" customHeight="1" collapsed="1" x14ac:dyDescent="0.25">
      <c r="A35" s="30" t="s">
        <v>252</v>
      </c>
      <c r="B35" s="11"/>
      <c r="C35" s="11"/>
      <c r="D35" s="11"/>
      <c r="E35" s="11"/>
      <c r="F35" s="11"/>
      <c r="G35" s="11"/>
      <c r="H35" s="11"/>
      <c r="I35" s="131"/>
      <c r="J35" s="132"/>
      <c r="K35" s="132"/>
      <c r="L35" s="132"/>
      <c r="M35" s="133"/>
      <c r="N35" s="11"/>
      <c r="O35" s="11"/>
      <c r="P35" s="11"/>
      <c r="Q35" s="45"/>
      <c r="R35" s="4" t="str">
        <f>IF($I$35="dezentral","","Zentrale Versickerung (über Oberboden)")</f>
        <v>Zentrale Versickerung (über Oberboden)</v>
      </c>
      <c r="S35" s="4"/>
      <c r="T35" s="4"/>
      <c r="U35" s="4"/>
      <c r="V35" s="4"/>
      <c r="W35" s="4"/>
      <c r="X35" s="4"/>
      <c r="Y35" s="26"/>
      <c r="Z35" s="26"/>
      <c r="AA35" s="26"/>
      <c r="AB35" s="26"/>
      <c r="AC35" s="26"/>
      <c r="AD35" s="4"/>
      <c r="AE35" s="4"/>
      <c r="AF35" s="4"/>
    </row>
    <row r="36" spans="1:32" s="27" customFormat="1" ht="15" customHeight="1" x14ac:dyDescent="0.25">
      <c r="A36" s="30" t="str">
        <f>IF(OR($I$39="unzulässig",$I$35="dezentral"),"","Flurabstand")</f>
        <v>Flurabstand</v>
      </c>
      <c r="B36" s="28"/>
      <c r="C36" s="28"/>
      <c r="D36" s="28"/>
      <c r="E36" s="28"/>
      <c r="F36" s="130" t="str">
        <f>IF(OR($I$39="unzulässig",$I$35="dezentral"),"",IF(AND(I29&gt;0,I30&gt;0),HYPERLINK(CONCATENATE("https://map.geo.gr.ch/grundwasser?map_x=",I29,"&amp;map_y=",I30,"&amp;map_zoom=10"),"(Karte)"),""))</f>
        <v/>
      </c>
      <c r="G36" s="130"/>
      <c r="H36" s="130"/>
      <c r="I36" s="139"/>
      <c r="J36" s="139"/>
      <c r="K36" s="139"/>
      <c r="L36" s="139"/>
      <c r="M36" s="139"/>
      <c r="N36" s="11" t="str">
        <f>IF(OR($I$39="unzulässig",$I$35="dezentral"),"","m")</f>
        <v>m</v>
      </c>
      <c r="O36" s="28"/>
      <c r="P36" s="31"/>
      <c r="Q36" s="12"/>
      <c r="R36" s="11" t="str">
        <f>IF(OR($Y$39="nicht machbar",I35="dezentral"),"","Sickerleistung")</f>
        <v>Sickerleistung</v>
      </c>
      <c r="S36" s="28"/>
      <c r="T36" s="28"/>
      <c r="U36" s="28"/>
      <c r="V36" s="28"/>
      <c r="W36" s="28"/>
      <c r="X36" s="28"/>
      <c r="Y36" s="28"/>
      <c r="Z36" s="108" t="str">
        <f>IF(OR($I$35="dezentral",$Y$39="nicht machbar"),"",IF(OR($I$37="",$I$38="",$I$40=""),".....",I38*I40))</f>
        <v>.....</v>
      </c>
      <c r="AA36" s="108"/>
      <c r="AB36" s="108"/>
      <c r="AC36" s="108"/>
      <c r="AD36" s="108"/>
      <c r="AE36" s="11" t="str">
        <f>IF(OR($I$35="dezentral",$Y$39="nicht machbar"),"","l/min")</f>
        <v>l/min</v>
      </c>
      <c r="AF36" s="31"/>
    </row>
    <row r="37" spans="1:32" s="27" customFormat="1" ht="15" customHeight="1" x14ac:dyDescent="0.25">
      <c r="A37" s="30" t="str">
        <f>IF(OR($I$39="unzulässig",$I$36="&lt; 1",$I$35="dezentral"),"","Sickerleistung Boden")</f>
        <v>Sickerleistung Boden</v>
      </c>
      <c r="B37" s="28"/>
      <c r="C37" s="28"/>
      <c r="D37" s="28"/>
      <c r="E37" s="28"/>
      <c r="F37" s="28"/>
      <c r="G37" s="28"/>
      <c r="H37" s="28"/>
      <c r="I37" s="131"/>
      <c r="J37" s="132"/>
      <c r="K37" s="132"/>
      <c r="L37" s="132"/>
      <c r="M37" s="133"/>
      <c r="N37" s="62"/>
      <c r="O37" s="59"/>
      <c r="P37" s="60"/>
      <c r="Q37" s="12"/>
      <c r="R37" s="11" t="str">
        <f>IF(OR($I$35="dezentral",$Y$39="nicht machbar"),"","Beckenvolumen")</f>
        <v>Beckenvolumen</v>
      </c>
      <c r="S37" s="28"/>
      <c r="T37" s="28"/>
      <c r="U37" s="28"/>
      <c r="V37" s="28"/>
      <c r="W37" s="28"/>
      <c r="X37" s="28"/>
      <c r="Y37" s="28"/>
      <c r="Z37" s="108" t="str">
        <f>IF(OR($I$35="dezentral",$Y$39="nicht machbar"),"",IF(OR($Z$11=".....",$Z$36="....."),".....",IF(VLOOKUP(TRUE,'11'!AJ11:AS24,5,FALSE)='11'!AN24,IF('11'!AN24=0,0,"zu gross"),MROUND(VLOOKUP(TRUE,'11'!AJ11:AS24,5,FALSE),0.5))))</f>
        <v>.....</v>
      </c>
      <c r="AA37" s="107"/>
      <c r="AB37" s="107"/>
      <c r="AC37" s="107"/>
      <c r="AD37" s="107"/>
      <c r="AE37" s="11" t="str">
        <f>IF(OR($I$35="dezentral",$Y$39="nicht machbar"),"","m³")</f>
        <v>m³</v>
      </c>
      <c r="AF37" s="31"/>
    </row>
    <row r="38" spans="1:32" s="27" customFormat="1" ht="15" customHeight="1" x14ac:dyDescent="0.25">
      <c r="A38" s="30" t="str">
        <f>IF(OR($I$39="unzulässig",$I$36="&lt; 1",$I$37="keine",$I$35="dezentral"),"","Versickerungsfläche")</f>
        <v>Versickerungsfläche</v>
      </c>
      <c r="B38" s="28"/>
      <c r="C38" s="28"/>
      <c r="D38" s="28"/>
      <c r="E38" s="28"/>
      <c r="F38" s="28"/>
      <c r="G38" s="28"/>
      <c r="H38" s="28"/>
      <c r="I38" s="131"/>
      <c r="J38" s="132"/>
      <c r="K38" s="132"/>
      <c r="L38" s="132"/>
      <c r="M38" s="133"/>
      <c r="N38" s="62" t="str">
        <f>IF(OR($I$39="unzulässig",$I$36="&lt; 1",$I$37="keine",$I$35="dezentral"),"","m²")</f>
        <v>m²</v>
      </c>
      <c r="O38" s="59"/>
      <c r="P38" s="60"/>
      <c r="Q38" s="12"/>
      <c r="R38" s="11" t="str">
        <f>IF(OR($I$35="dezentral",$Y$39="nicht machbar"),"","Beckentiefe")</f>
        <v>Beckentiefe</v>
      </c>
      <c r="S38" s="28"/>
      <c r="T38" s="28"/>
      <c r="U38" s="28"/>
      <c r="V38" s="28"/>
      <c r="W38" s="28"/>
      <c r="X38" s="28"/>
      <c r="Y38" s="28"/>
      <c r="Z38" s="108" t="str">
        <f>IF(OR($I$35="dezentral",$Y$39="nicht machbar"),"",IF(OR($Z$37="zu gross",$I$38="",$Z$37="....."),".....",MROUND($Z$37/$I$38,0.01)))</f>
        <v>.....</v>
      </c>
      <c r="AA38" s="108"/>
      <c r="AB38" s="108"/>
      <c r="AC38" s="108"/>
      <c r="AD38" s="108"/>
      <c r="AE38" s="11" t="str">
        <f>IF(OR($I$35="dezentral",$Y$39="nicht machbar"),"","m")</f>
        <v>m</v>
      </c>
      <c r="AF38" s="31"/>
    </row>
    <row r="39" spans="1:32" s="27" customFormat="1" ht="15" customHeight="1" x14ac:dyDescent="0.25">
      <c r="A39" s="70" t="str">
        <f>IF($I$39="unzulässig", "Die Versickerung ist", "Behandlung")</f>
        <v>Behandlung</v>
      </c>
      <c r="B39" s="93"/>
      <c r="C39" s="93"/>
      <c r="D39" s="93"/>
      <c r="E39" s="93"/>
      <c r="F39" s="93"/>
      <c r="G39" s="93"/>
      <c r="H39" s="93"/>
      <c r="I39" s="137" t="str">
        <f>IF(OR($Z$22=".....",$I$31="",$I$32=""),".....",VLOOKUP(TRUE,'7'!V7:AC30,5,FALSE))</f>
        <v>.....</v>
      </c>
      <c r="J39" s="137"/>
      <c r="K39" s="137"/>
      <c r="L39" s="137"/>
      <c r="M39" s="137"/>
      <c r="N39" s="33"/>
      <c r="O39" s="33"/>
      <c r="P39" s="35"/>
      <c r="Q39" s="21"/>
      <c r="R39" s="90" t="str">
        <f>IF($I$35="dezentral","","Machbarkeit")</f>
        <v>Machbarkeit</v>
      </c>
      <c r="S39" s="33"/>
      <c r="T39" s="33"/>
      <c r="U39" s="33"/>
      <c r="V39" s="33"/>
      <c r="W39" s="33"/>
      <c r="X39" s="33"/>
      <c r="Y39" s="137" t="str">
        <f>IF($I$35="dezentral","",IF(OR($I$39="unzulässig",$I$36="&lt; 1",$I$37="keine"),VLOOKUP(TRUE,'9'!Q7:Y18,5,FALSE),IF(OR($I$39=".....",$I$36="",$I$37=""),".....",VLOOKUP(TRUE,'9'!Q7:Y18,5,FALSE))))</f>
        <v>.....</v>
      </c>
      <c r="Z39" s="137"/>
      <c r="AA39" s="137"/>
      <c r="AB39" s="137"/>
      <c r="AC39" s="137"/>
      <c r="AD39" s="137"/>
      <c r="AE39" s="33"/>
      <c r="AF39" s="35"/>
    </row>
    <row r="40" spans="1:32" s="27" customFormat="1" ht="15" hidden="1" customHeight="1" outlineLevel="1" x14ac:dyDescent="0.25">
      <c r="A40" s="77" t="s">
        <v>190</v>
      </c>
      <c r="B40" s="78"/>
      <c r="C40" s="78"/>
      <c r="D40" s="78"/>
      <c r="E40" s="78"/>
      <c r="F40" s="78"/>
      <c r="G40" s="78"/>
      <c r="H40" s="78"/>
      <c r="I40" s="141" t="str">
        <f>IF($I$37="",".....",VLOOKUP(TRUE,'10'!G9:N12,5,FALSE))</f>
        <v>.....</v>
      </c>
      <c r="J40" s="141"/>
      <c r="K40" s="141"/>
      <c r="L40" s="141"/>
      <c r="M40" s="141"/>
      <c r="N40" s="78" t="s">
        <v>210</v>
      </c>
      <c r="O40" s="78"/>
      <c r="P40" s="79"/>
      <c r="Q40" s="80"/>
      <c r="R40" s="81"/>
      <c r="S40" s="81"/>
      <c r="T40" s="81"/>
      <c r="U40" s="81"/>
      <c r="V40" s="81"/>
      <c r="W40" s="81"/>
      <c r="X40" s="81"/>
      <c r="Y40" s="81"/>
      <c r="Z40" s="81"/>
      <c r="AA40" s="81"/>
      <c r="AB40" s="81"/>
      <c r="AC40" s="81"/>
      <c r="AD40" s="81"/>
      <c r="AE40" s="81"/>
      <c r="AF40" s="82"/>
    </row>
    <row r="41" spans="1:32" s="27" customFormat="1" ht="15" customHeight="1" collapsed="1" x14ac:dyDescent="0.25">
      <c r="A41" s="25" t="str">
        <f>IF(OR($I$39="ja, standard",$I$39="ja, erhöht"),"Dezentrale Versickerung unzulässig. Für zentrale Behandlungsanlage gilt die VSS 40 361.","")</f>
        <v/>
      </c>
      <c r="Q41" s="2"/>
      <c r="AE41" s="28"/>
      <c r="AF41" s="28"/>
    </row>
    <row r="42" spans="1:32" s="27" customFormat="1" ht="15" customHeight="1" x14ac:dyDescent="0.25">
      <c r="A42" s="25"/>
      <c r="I42" s="37"/>
      <c r="J42" s="37"/>
      <c r="K42" s="37"/>
      <c r="L42" s="37"/>
      <c r="M42" s="37"/>
      <c r="Q42" s="11"/>
      <c r="R42" s="28"/>
      <c r="S42" s="28"/>
    </row>
    <row r="43" spans="1:32" ht="15" customHeight="1" x14ac:dyDescent="0.25">
      <c r="A43" s="45" t="s">
        <v>197</v>
      </c>
      <c r="B43" s="4"/>
      <c r="C43" s="4"/>
      <c r="D43" s="4"/>
      <c r="E43" s="4"/>
      <c r="F43" s="4"/>
      <c r="G43" s="4"/>
      <c r="H43" s="4"/>
      <c r="I43" s="26"/>
      <c r="J43" s="26"/>
      <c r="K43" s="26"/>
      <c r="L43" s="26"/>
      <c r="M43" s="26"/>
      <c r="N43" s="4"/>
      <c r="O43" s="4"/>
      <c r="P43" s="4"/>
      <c r="Q43" s="105"/>
      <c r="S43" s="2"/>
    </row>
    <row r="44" spans="1:32" ht="15" customHeight="1" x14ac:dyDescent="0.25">
      <c r="A44" s="9" t="s">
        <v>89</v>
      </c>
      <c r="B44" s="2"/>
      <c r="C44" s="2"/>
      <c r="D44" s="2"/>
      <c r="E44" s="2"/>
      <c r="F44" s="2"/>
      <c r="G44" s="2"/>
      <c r="H44" s="2"/>
      <c r="I44" s="121"/>
      <c r="J44" s="122"/>
      <c r="K44" s="122"/>
      <c r="L44" s="122"/>
      <c r="M44" s="123"/>
      <c r="N44" s="2"/>
      <c r="O44" s="2"/>
      <c r="P44" s="10"/>
      <c r="Q44" s="8"/>
      <c r="R44" s="6"/>
      <c r="S44" s="6"/>
      <c r="T44" s="6"/>
      <c r="U44" s="6"/>
      <c r="V44" s="6"/>
      <c r="W44" s="6"/>
      <c r="X44" s="6"/>
      <c r="Y44" s="6"/>
      <c r="Z44" s="136"/>
      <c r="AA44" s="136"/>
      <c r="AB44" s="136"/>
      <c r="AC44" s="136"/>
      <c r="AD44" s="136"/>
      <c r="AE44" s="6"/>
      <c r="AF44" s="7"/>
    </row>
    <row r="45" spans="1:32" ht="15" customHeight="1" x14ac:dyDescent="0.25">
      <c r="A45" s="30" t="str">
        <f>IF($I$44="fliessend","X-Koordinate","")</f>
        <v/>
      </c>
      <c r="B45" s="28"/>
      <c r="C45" s="28"/>
      <c r="D45" s="28"/>
      <c r="E45" s="28"/>
      <c r="F45" s="28"/>
      <c r="G45" s="28"/>
      <c r="H45" s="28"/>
      <c r="I45" s="117"/>
      <c r="J45" s="117"/>
      <c r="K45" s="117"/>
      <c r="L45" s="117"/>
      <c r="M45" s="117"/>
      <c r="N45" s="11" t="str">
        <f>IF($I$44="fliessend","(2'…)","")</f>
        <v/>
      </c>
      <c r="O45" s="28"/>
      <c r="P45" s="10"/>
      <c r="Q45" s="12"/>
      <c r="R45" s="2"/>
      <c r="S45" s="2"/>
      <c r="T45" s="2"/>
      <c r="U45" s="2"/>
      <c r="V45" s="2"/>
      <c r="W45" s="2"/>
      <c r="X45" s="2"/>
      <c r="Y45" s="2"/>
      <c r="Z45" s="103"/>
      <c r="AA45" s="103"/>
      <c r="AB45" s="103"/>
      <c r="AC45" s="103"/>
      <c r="AD45" s="103"/>
      <c r="AE45" s="2"/>
      <c r="AF45" s="10"/>
    </row>
    <row r="46" spans="1:32" ht="15" customHeight="1" x14ac:dyDescent="0.25">
      <c r="A46" s="30" t="str">
        <f>IF($I$44="fliessend","Y-Koordinate","")</f>
        <v/>
      </c>
      <c r="B46" s="28"/>
      <c r="C46" s="28"/>
      <c r="D46" s="28"/>
      <c r="E46" s="28"/>
      <c r="F46" s="28"/>
      <c r="G46" s="28"/>
      <c r="H46" s="28"/>
      <c r="I46" s="117"/>
      <c r="J46" s="117"/>
      <c r="K46" s="117"/>
      <c r="L46" s="117"/>
      <c r="M46" s="117"/>
      <c r="N46" s="11" t="str">
        <f>IF($I$44="fliessend","(1'…)","")</f>
        <v/>
      </c>
      <c r="O46" s="28"/>
      <c r="P46" s="10"/>
      <c r="Q46" s="12"/>
      <c r="R46" s="2"/>
      <c r="S46" s="2"/>
      <c r="T46" s="2"/>
      <c r="U46" s="2"/>
      <c r="V46" s="2"/>
      <c r="W46" s="2"/>
      <c r="X46" s="2"/>
      <c r="Y46" s="2"/>
      <c r="Z46" s="103"/>
      <c r="AA46" s="103"/>
      <c r="AB46" s="103"/>
      <c r="AC46" s="103"/>
      <c r="AD46" s="103"/>
      <c r="AE46" s="2"/>
      <c r="AF46" s="10"/>
    </row>
    <row r="47" spans="1:32" ht="15" customHeight="1" x14ac:dyDescent="0.25">
      <c r="A47" s="9" t="str">
        <f>IF($I$44="fliessend","Q13 min","")</f>
        <v/>
      </c>
      <c r="B47" s="2"/>
      <c r="C47" s="2"/>
      <c r="D47" s="2"/>
      <c r="E47" s="130" t="str">
        <f>IF(AND(I45&gt;0,I46&gt;0),HYPERLINK(CONCATENATE("http://webservice.hydroloc.ch/lv95_index.php?layer=watershed_ch&amp;format=json&amp;pointX=",I45,"&amp;pointY=",I46),"(Daten)"),"")</f>
        <v/>
      </c>
      <c r="F47" s="130"/>
      <c r="G47" s="130"/>
      <c r="H47" s="138"/>
      <c r="I47" s="124"/>
      <c r="J47" s="125"/>
      <c r="K47" s="125"/>
      <c r="L47" s="125"/>
      <c r="M47" s="126"/>
      <c r="N47" s="2" t="str">
        <f>IF($I$44="fliessend","l/s","")</f>
        <v/>
      </c>
      <c r="O47" s="2"/>
      <c r="P47" s="10"/>
      <c r="Q47" s="12"/>
      <c r="R47" s="2" t="s">
        <v>93</v>
      </c>
      <c r="S47" s="2"/>
      <c r="T47" s="2"/>
      <c r="U47" s="2"/>
      <c r="V47" s="2"/>
      <c r="W47" s="2"/>
      <c r="X47" s="2"/>
      <c r="Y47" s="2"/>
      <c r="Z47" s="107" t="str">
        <f>IF(AND($I$44="fliessend",$I$52="....."),".....",IF(OR($Z$22=".....",$I$44=""),".....",VLOOKUP(TRUE,'13'!S6:AA14,5,FALSE)))</f>
        <v>.....</v>
      </c>
      <c r="AA47" s="107"/>
      <c r="AB47" s="107"/>
      <c r="AC47" s="107"/>
      <c r="AD47" s="107"/>
      <c r="AE47" s="2"/>
      <c r="AF47" s="10"/>
    </row>
    <row r="48" spans="1:32" ht="15" customHeight="1" x14ac:dyDescent="0.25">
      <c r="A48" s="15" t="str">
        <f>IF(OR($I$44="stehend",$I$49&gt;=1),"","Sohlenbeschaffung")</f>
        <v/>
      </c>
      <c r="B48" s="16"/>
      <c r="C48" s="16"/>
      <c r="D48" s="16"/>
      <c r="E48" s="16"/>
      <c r="F48" s="16"/>
      <c r="G48" s="16"/>
      <c r="H48" s="16"/>
      <c r="I48" s="127"/>
      <c r="J48" s="128"/>
      <c r="K48" s="128"/>
      <c r="L48" s="128"/>
      <c r="M48" s="129"/>
      <c r="N48" s="16"/>
      <c r="O48" s="16"/>
      <c r="P48" s="17"/>
      <c r="Q48" s="21"/>
      <c r="R48" s="16" t="s">
        <v>97</v>
      </c>
      <c r="S48" s="16"/>
      <c r="T48" s="16"/>
      <c r="U48" s="16"/>
      <c r="V48" s="16"/>
      <c r="W48" s="16"/>
      <c r="X48" s="16"/>
      <c r="Y48" s="16"/>
      <c r="Z48" s="135" t="str">
        <f>IF(AND($I$44="fliessend",$I$53="....."),".....",IF($I$44="",".....",VLOOKUP(TRUE,'13'!S17:AA19,5,FALSE)))</f>
        <v>.....</v>
      </c>
      <c r="AA48" s="135"/>
      <c r="AB48" s="135"/>
      <c r="AC48" s="135"/>
      <c r="AD48" s="135"/>
      <c r="AE48" s="16"/>
      <c r="AF48" s="17"/>
    </row>
    <row r="49" spans="1:32" ht="15" hidden="1" customHeight="1" outlineLevel="1" x14ac:dyDescent="0.25">
      <c r="A49" s="5" t="s">
        <v>99</v>
      </c>
      <c r="B49" s="6"/>
      <c r="C49" s="6"/>
      <c r="D49" s="6"/>
      <c r="E49" s="6"/>
      <c r="F49" s="6"/>
      <c r="G49" s="6"/>
      <c r="H49" s="6"/>
      <c r="I49" s="142" t="str">
        <f>IF(OR($Z$11=".....",$I$47=""),".....",$I$47/$Z$11)</f>
        <v>.....</v>
      </c>
      <c r="J49" s="142"/>
      <c r="K49" s="142"/>
      <c r="L49" s="142"/>
      <c r="M49" s="142"/>
      <c r="N49" s="6"/>
      <c r="O49" s="6"/>
      <c r="P49" s="6"/>
      <c r="Q49" s="6"/>
      <c r="R49" s="6"/>
      <c r="S49" s="6"/>
      <c r="T49" s="6"/>
      <c r="U49" s="6"/>
      <c r="V49" s="6"/>
      <c r="W49" s="6"/>
      <c r="X49" s="6"/>
      <c r="Y49" s="6"/>
      <c r="Z49" s="6"/>
      <c r="AA49" s="6"/>
      <c r="AB49" s="6"/>
      <c r="AC49" s="6"/>
      <c r="AD49" s="6"/>
      <c r="AE49" s="6"/>
      <c r="AF49" s="7"/>
    </row>
    <row r="50" spans="1:32" ht="15" hidden="1" customHeight="1" outlineLevel="1" x14ac:dyDescent="0.25">
      <c r="A50" s="9" t="s">
        <v>101</v>
      </c>
      <c r="B50" s="2"/>
      <c r="C50" s="2"/>
      <c r="D50" s="2"/>
      <c r="E50" s="2"/>
      <c r="F50" s="2"/>
      <c r="G50" s="2"/>
      <c r="H50" s="2"/>
      <c r="I50" s="140" t="str">
        <f>IF(AND(A48="Sohlenbeschaffung",I48=""),".....",IF($I$49=".....",".....",VLOOKUP(TRUE,'12'!N7:W11,5,FALSE)))</f>
        <v>.....</v>
      </c>
      <c r="J50" s="140"/>
      <c r="K50" s="140"/>
      <c r="L50" s="140"/>
      <c r="M50" s="140"/>
      <c r="N50" s="2"/>
      <c r="O50" s="2"/>
      <c r="P50" s="2"/>
      <c r="Q50" s="2"/>
      <c r="R50" s="2"/>
      <c r="S50" s="2"/>
      <c r="T50" s="2"/>
      <c r="U50" s="2"/>
      <c r="V50" s="2"/>
      <c r="W50" s="2"/>
      <c r="X50" s="2"/>
      <c r="Y50" s="2"/>
      <c r="Z50" s="2"/>
      <c r="AA50" s="2"/>
      <c r="AB50" s="2"/>
      <c r="AC50" s="2"/>
      <c r="AD50" s="2"/>
      <c r="AE50" s="2"/>
      <c r="AF50" s="10"/>
    </row>
    <row r="51" spans="1:32" ht="15" hidden="1" customHeight="1" outlineLevel="1" x14ac:dyDescent="0.25">
      <c r="A51" s="9" t="s">
        <v>100</v>
      </c>
      <c r="B51" s="2"/>
      <c r="C51" s="2"/>
      <c r="D51" s="2"/>
      <c r="E51" s="2"/>
      <c r="F51" s="2"/>
      <c r="G51" s="2"/>
      <c r="H51" s="2"/>
      <c r="I51" s="140" t="str">
        <f>IF($I$49=".....",".....",VLOOKUP(TRUE,'12'!N15:W18,5,FALSE))</f>
        <v>.....</v>
      </c>
      <c r="J51" s="140"/>
      <c r="K51" s="140"/>
      <c r="L51" s="140"/>
      <c r="M51" s="140"/>
      <c r="N51" s="2"/>
      <c r="O51" s="2"/>
      <c r="P51" s="2"/>
      <c r="Q51" s="2"/>
      <c r="R51" s="2"/>
      <c r="S51" s="2"/>
      <c r="T51" s="2"/>
      <c r="U51" s="2"/>
      <c r="V51" s="2"/>
      <c r="W51" s="2"/>
      <c r="X51" s="2"/>
      <c r="Y51" s="2"/>
      <c r="Z51" s="2"/>
      <c r="AA51" s="2"/>
      <c r="AB51" s="2"/>
      <c r="AC51" s="2"/>
      <c r="AD51" s="2"/>
      <c r="AE51" s="2"/>
      <c r="AF51" s="10"/>
    </row>
    <row r="52" spans="1:32" ht="15" hidden="1" customHeight="1" outlineLevel="1" x14ac:dyDescent="0.25">
      <c r="A52" s="9" t="s">
        <v>112</v>
      </c>
      <c r="B52" s="2"/>
      <c r="C52" s="2"/>
      <c r="D52" s="2"/>
      <c r="E52" s="2"/>
      <c r="F52" s="2"/>
      <c r="G52" s="2"/>
      <c r="H52" s="2"/>
      <c r="I52" s="140" t="str">
        <f>IF(OR($I$49=".....",$I$51="....."),".....",$I$51*$I$49)</f>
        <v>.....</v>
      </c>
      <c r="J52" s="140"/>
      <c r="K52" s="140"/>
      <c r="L52" s="140"/>
      <c r="M52" s="140"/>
      <c r="N52" s="2"/>
      <c r="O52" s="2"/>
      <c r="P52" s="2"/>
      <c r="Q52" s="2"/>
      <c r="R52" s="2"/>
      <c r="S52" s="2"/>
      <c r="T52" s="2"/>
      <c r="U52" s="2"/>
      <c r="V52" s="2"/>
      <c r="W52" s="2"/>
      <c r="X52" s="2"/>
      <c r="Y52" s="2"/>
      <c r="Z52" s="2"/>
      <c r="AA52" s="2"/>
      <c r="AB52" s="2"/>
      <c r="AC52" s="2"/>
      <c r="AD52" s="2"/>
      <c r="AE52" s="2"/>
      <c r="AF52" s="10"/>
    </row>
    <row r="53" spans="1:32" ht="15" hidden="1" customHeight="1" outlineLevel="1" x14ac:dyDescent="0.25">
      <c r="A53" s="15" t="s">
        <v>103</v>
      </c>
      <c r="B53" s="16"/>
      <c r="C53" s="16"/>
      <c r="D53" s="16"/>
      <c r="E53" s="16"/>
      <c r="F53" s="16"/>
      <c r="G53" s="16"/>
      <c r="H53" s="16"/>
      <c r="I53" s="143" t="str">
        <f>IF(OR($I$49=".....",$I$50=".....",$I$51="....."),".....",$I$49*$I$50*$I$51)</f>
        <v>.....</v>
      </c>
      <c r="J53" s="143"/>
      <c r="K53" s="143"/>
      <c r="L53" s="143"/>
      <c r="M53" s="143"/>
      <c r="N53" s="16"/>
      <c r="O53" s="16"/>
      <c r="P53" s="16"/>
      <c r="Q53" s="16"/>
      <c r="R53" s="16"/>
      <c r="S53" s="16"/>
      <c r="T53" s="16"/>
      <c r="U53" s="16"/>
      <c r="V53" s="16"/>
      <c r="W53" s="16"/>
      <c r="X53" s="16"/>
      <c r="Y53" s="16"/>
      <c r="Z53" s="16"/>
      <c r="AA53" s="16"/>
      <c r="AB53" s="16"/>
      <c r="AC53" s="16"/>
      <c r="AD53" s="16"/>
      <c r="AE53" s="16"/>
      <c r="AF53" s="17"/>
    </row>
    <row r="54" spans="1:32" ht="15" customHeight="1" collapsed="1" x14ac:dyDescent="0.25">
      <c r="A54" s="25" t="str">
        <f>IF(OR($Z$47="ja, standard",$Z$47="ja, erhöht"),"Als dezentrale Behandlungsanlagen sind Adsorber geeignet, für zentrale Anlagen gilt die VSS 40 361.","")</f>
        <v/>
      </c>
      <c r="B54" s="51"/>
      <c r="Q54" s="2"/>
      <c r="R54" s="2"/>
      <c r="S54" s="2"/>
    </row>
    <row r="55" spans="1:32" ht="15" customHeight="1" x14ac:dyDescent="0.25">
      <c r="A55" s="38"/>
      <c r="Q55" s="2"/>
      <c r="R55" s="2"/>
      <c r="S55" s="2"/>
    </row>
    <row r="56" spans="1:32" ht="15" customHeight="1" x14ac:dyDescent="0.25">
      <c r="A56" s="45" t="s">
        <v>196</v>
      </c>
      <c r="B56" s="64"/>
      <c r="C56" s="65"/>
      <c r="D56" s="65"/>
      <c r="E56" s="65"/>
      <c r="F56" s="65"/>
      <c r="G56" s="65"/>
      <c r="H56" s="65"/>
      <c r="I56" s="65"/>
      <c r="J56" s="65"/>
      <c r="K56" s="65"/>
      <c r="L56" s="65"/>
      <c r="M56" s="65"/>
      <c r="N56" s="65"/>
      <c r="O56" s="65"/>
      <c r="P56" s="65"/>
      <c r="Q56" s="2"/>
      <c r="R56" s="2"/>
      <c r="S56" s="2"/>
    </row>
    <row r="57" spans="1:32" s="2" customFormat="1" ht="15" customHeight="1" x14ac:dyDescent="0.25">
      <c r="A57" s="9" t="s">
        <v>123</v>
      </c>
      <c r="I57" s="118"/>
      <c r="J57" s="119"/>
      <c r="K57" s="119"/>
      <c r="L57" s="119"/>
      <c r="M57" s="120"/>
      <c r="P57" s="10"/>
      <c r="Q57" s="8"/>
      <c r="R57" s="6" t="s">
        <v>131</v>
      </c>
      <c r="S57" s="6"/>
      <c r="T57" s="6"/>
      <c r="U57" s="6"/>
      <c r="V57" s="6"/>
      <c r="W57" s="6"/>
      <c r="X57" s="6"/>
      <c r="Y57" s="6"/>
      <c r="Z57" s="134" t="str">
        <f>IF(OR($Z$11=".....",$I$62="....."),".....",MROUND($Z$11/1000*$I$60/$I$62,0.25))</f>
        <v>.....</v>
      </c>
      <c r="AA57" s="134"/>
      <c r="AB57" s="134"/>
      <c r="AC57" s="134"/>
      <c r="AD57" s="134"/>
      <c r="AE57" s="6" t="s">
        <v>22</v>
      </c>
      <c r="AF57" s="7"/>
    </row>
    <row r="58" spans="1:32" s="2" customFormat="1" ht="15" customHeight="1" x14ac:dyDescent="0.25">
      <c r="A58" s="9" t="s">
        <v>119</v>
      </c>
      <c r="I58" s="114"/>
      <c r="J58" s="115"/>
      <c r="K58" s="115"/>
      <c r="L58" s="115"/>
      <c r="M58" s="116"/>
      <c r="N58" s="2" t="s">
        <v>22</v>
      </c>
      <c r="P58" s="10"/>
      <c r="Q58" s="12"/>
      <c r="R58" s="39" t="s">
        <v>127</v>
      </c>
      <c r="Z58" s="111">
        <v>0.5</v>
      </c>
      <c r="AA58" s="111"/>
      <c r="AB58" s="111"/>
      <c r="AC58" s="111"/>
      <c r="AD58" s="111"/>
      <c r="AE58" s="2" t="s">
        <v>22</v>
      </c>
      <c r="AF58" s="10"/>
    </row>
    <row r="59" spans="1:32" s="2" customFormat="1" ht="15" customHeight="1" x14ac:dyDescent="0.25">
      <c r="A59" s="70" t="str">
        <f>IF($I$58="","",IF($I$58&lt;=2,"Projektierungsgrundlage TBA Blatt 2.270","z.B. friwa®-sep Mineralölabscheider MA"))</f>
        <v/>
      </c>
      <c r="B59" s="16"/>
      <c r="C59" s="16"/>
      <c r="D59" s="16"/>
      <c r="E59" s="16"/>
      <c r="F59" s="16"/>
      <c r="G59" s="16"/>
      <c r="H59" s="16"/>
      <c r="I59" s="16"/>
      <c r="J59" s="16"/>
      <c r="K59" s="16"/>
      <c r="L59" s="16"/>
      <c r="M59" s="16"/>
      <c r="N59" s="16"/>
      <c r="O59" s="16"/>
      <c r="P59" s="17"/>
      <c r="Q59" s="21"/>
      <c r="R59" s="34" t="str">
        <f>IF($Z$59=".....","Nutztiefe",IF($Z$59&gt;2,"Nutztiefe (zu gross)","Nutztiefe"))</f>
        <v>Nutztiefe</v>
      </c>
      <c r="S59" s="16"/>
      <c r="T59" s="16"/>
      <c r="U59" s="16"/>
      <c r="V59" s="16"/>
      <c r="W59" s="16"/>
      <c r="X59" s="16"/>
      <c r="Y59" s="16"/>
      <c r="Z59" s="113" t="str">
        <f>IF($Z$57=".....",".....",MROUND(SUM(Z57:AD58),0.25))</f>
        <v>.....</v>
      </c>
      <c r="AA59" s="113"/>
      <c r="AB59" s="113"/>
      <c r="AC59" s="113"/>
      <c r="AD59" s="113"/>
      <c r="AE59" s="16" t="s">
        <v>22</v>
      </c>
      <c r="AF59" s="17"/>
    </row>
    <row r="60" spans="1:32" s="2" customFormat="1" ht="15" hidden="1" customHeight="1" outlineLevel="1" x14ac:dyDescent="0.25">
      <c r="A60" s="5" t="s">
        <v>125</v>
      </c>
      <c r="B60" s="6"/>
      <c r="C60" s="6"/>
      <c r="D60" s="6"/>
      <c r="E60" s="6"/>
      <c r="F60" s="6"/>
      <c r="G60" s="6"/>
      <c r="H60" s="6"/>
      <c r="I60" s="110">
        <v>30</v>
      </c>
      <c r="J60" s="110"/>
      <c r="K60" s="110"/>
      <c r="L60" s="110"/>
      <c r="M60" s="110"/>
      <c r="N60" s="6" t="s">
        <v>126</v>
      </c>
      <c r="O60" s="6"/>
      <c r="P60" s="6"/>
      <c r="Q60" s="6"/>
      <c r="R60" s="6"/>
      <c r="S60" s="6"/>
      <c r="T60" s="6"/>
      <c r="U60" s="6"/>
      <c r="V60" s="6"/>
      <c r="W60" s="6"/>
      <c r="X60" s="6"/>
      <c r="Y60" s="6"/>
      <c r="Z60" s="6"/>
      <c r="AA60" s="6"/>
      <c r="AB60" s="6"/>
      <c r="AC60" s="6"/>
      <c r="AD60" s="6"/>
      <c r="AE60" s="6"/>
      <c r="AF60" s="7"/>
    </row>
    <row r="61" spans="1:32" s="2" customFormat="1" ht="15" hidden="1" customHeight="1" outlineLevel="1" x14ac:dyDescent="0.25">
      <c r="A61" s="9" t="s">
        <v>128</v>
      </c>
      <c r="I61" s="112">
        <v>18</v>
      </c>
      <c r="J61" s="112"/>
      <c r="K61" s="112"/>
      <c r="L61" s="112"/>
      <c r="M61" s="112"/>
      <c r="N61" s="2" t="s">
        <v>129</v>
      </c>
      <c r="AF61" s="10"/>
    </row>
    <row r="62" spans="1:32" s="2" customFormat="1" ht="15" hidden="1" customHeight="1" outlineLevel="1" x14ac:dyDescent="0.25">
      <c r="A62" s="15" t="s">
        <v>130</v>
      </c>
      <c r="B62" s="16"/>
      <c r="C62" s="16"/>
      <c r="D62" s="16"/>
      <c r="E62" s="16"/>
      <c r="F62" s="16"/>
      <c r="G62" s="16"/>
      <c r="H62" s="16"/>
      <c r="I62" s="113" t="str">
        <f>IF($I$58="",".....",3.1415*($I$58)^2/4)</f>
        <v>.....</v>
      </c>
      <c r="J62" s="113"/>
      <c r="K62" s="113"/>
      <c r="L62" s="113"/>
      <c r="M62" s="113"/>
      <c r="N62" s="16" t="s">
        <v>25</v>
      </c>
      <c r="O62" s="16"/>
      <c r="P62" s="16"/>
      <c r="Q62" s="16"/>
      <c r="R62" s="16"/>
      <c r="S62" s="16"/>
      <c r="T62" s="16"/>
      <c r="U62" s="16"/>
      <c r="V62" s="16"/>
      <c r="W62" s="16"/>
      <c r="X62" s="16"/>
      <c r="Y62" s="16"/>
      <c r="Z62" s="16"/>
      <c r="AA62" s="16"/>
      <c r="AB62" s="16"/>
      <c r="AC62" s="16"/>
      <c r="AD62" s="16"/>
      <c r="AE62" s="16"/>
      <c r="AF62" s="17"/>
    </row>
    <row r="63" spans="1:32" ht="15" customHeight="1" collapsed="1" x14ac:dyDescent="0.25">
      <c r="A63" s="25" t="str">
        <f>IF($Z$59=".....","",IF($Z$59&gt;2,"Die Nutztiefe des Schlammsammlers ist zu gross (&gt; 2 m), bitte Eingabedaten anpassen.",""))</f>
        <v/>
      </c>
      <c r="I63" s="40"/>
      <c r="J63" s="40"/>
      <c r="K63" s="40"/>
      <c r="L63" s="40"/>
      <c r="M63" s="40"/>
      <c r="Q63" s="2"/>
    </row>
    <row r="64" spans="1:32" ht="15" customHeight="1" x14ac:dyDescent="0.25">
      <c r="A64" s="36"/>
      <c r="I64" s="40"/>
      <c r="J64" s="40"/>
      <c r="K64" s="40"/>
      <c r="L64" s="40"/>
      <c r="M64" s="40"/>
      <c r="Q64" s="2"/>
    </row>
    <row r="65" spans="1:32" ht="15" customHeight="1" x14ac:dyDescent="0.25">
      <c r="A65" s="45" t="s">
        <v>141</v>
      </c>
      <c r="B65" s="4"/>
      <c r="C65" s="4"/>
      <c r="D65" s="4"/>
      <c r="E65" s="4"/>
      <c r="F65" s="4"/>
      <c r="G65" s="4"/>
      <c r="H65" s="4"/>
      <c r="I65" s="4"/>
      <c r="J65" s="4"/>
      <c r="K65" s="4"/>
      <c r="L65" s="4"/>
      <c r="M65" s="4"/>
      <c r="N65" s="4"/>
      <c r="O65" s="4"/>
      <c r="P65" s="4"/>
      <c r="Q65" s="3"/>
      <c r="R65" s="11"/>
      <c r="S65" s="2"/>
    </row>
    <row r="66" spans="1:32" ht="15" customHeight="1" x14ac:dyDescent="0.25">
      <c r="A66" s="9" t="s">
        <v>241</v>
      </c>
      <c r="B66" s="2"/>
      <c r="C66" s="2"/>
      <c r="D66" s="2"/>
      <c r="E66" s="2"/>
      <c r="F66" s="2"/>
      <c r="G66" s="2"/>
      <c r="H66" s="2"/>
      <c r="I66" s="2"/>
      <c r="J66" s="2"/>
      <c r="K66" s="2"/>
      <c r="L66" s="2"/>
      <c r="M66" s="2"/>
      <c r="N66" s="2"/>
      <c r="O66" s="2"/>
      <c r="P66" s="10"/>
      <c r="Q66" s="8"/>
      <c r="R66" s="6" t="str">
        <f>IF($I$44="stehend","", "Zulässige Einleitmenge")</f>
        <v>Zulässige Einleitmenge</v>
      </c>
      <c r="S66" s="6"/>
      <c r="T66" s="6"/>
      <c r="U66" s="6"/>
      <c r="V66" s="6"/>
      <c r="W66" s="6"/>
      <c r="X66" s="6"/>
      <c r="Y66" s="6"/>
      <c r="Z66" s="106" t="str">
        <f>IF($I$44="stehend","",IF(OR($I$47="",$I$50=".....",$I$51="....."),".....",$I$47*$I$50*$I$51/0.1))</f>
        <v>.....</v>
      </c>
      <c r="AA66" s="106"/>
      <c r="AB66" s="106"/>
      <c r="AC66" s="106"/>
      <c r="AD66" s="106"/>
      <c r="AE66" s="6" t="str">
        <f>IF($I$44="stehend","","l/s")</f>
        <v>l/s</v>
      </c>
      <c r="AF66" s="7"/>
    </row>
    <row r="67" spans="1:32" ht="15" customHeight="1" x14ac:dyDescent="0.25">
      <c r="A67" s="15" t="s">
        <v>242</v>
      </c>
      <c r="B67" s="16"/>
      <c r="C67" s="16"/>
      <c r="D67" s="16"/>
      <c r="E67" s="16"/>
      <c r="F67" s="16"/>
      <c r="G67" s="16"/>
      <c r="H67" s="16"/>
      <c r="I67" s="16"/>
      <c r="J67" s="16"/>
      <c r="K67" s="16"/>
      <c r="L67" s="16"/>
      <c r="M67" s="16"/>
      <c r="N67" s="16"/>
      <c r="O67" s="16"/>
      <c r="P67" s="17"/>
      <c r="Q67" s="21"/>
      <c r="R67" s="16" t="str">
        <f>IF($I$44="stehend","Keine Retention nötig","Retentionsvolumen")</f>
        <v>Retentionsvolumen</v>
      </c>
      <c r="S67" s="16"/>
      <c r="T67" s="16"/>
      <c r="U67" s="16"/>
      <c r="V67" s="16"/>
      <c r="W67" s="16"/>
      <c r="X67" s="16"/>
      <c r="Y67" s="16"/>
      <c r="Z67" s="109" t="str">
        <f>IF($I$44="stehend","",IF(OR($Z$66=".....",$Z$11="....."),".....",IF($Z$11&gt;=$Z$66,IF(VLOOKUP(TRUE,'14'!AJ11:AT24,5,FALSE)='14'!AN24,IF('14'!AN24=0,0,"zu gross"),MROUND(VLOOKUP(TRUE,'14'!AJ11:AT24,5,FALSE),0.5)),0)))</f>
        <v>.....</v>
      </c>
      <c r="AA67" s="109"/>
      <c r="AB67" s="109"/>
      <c r="AC67" s="109"/>
      <c r="AD67" s="109"/>
      <c r="AE67" s="16" t="str">
        <f>IF($I$44="stehend","","m³")</f>
        <v>m³</v>
      </c>
      <c r="AF67" s="17"/>
    </row>
    <row r="68" spans="1:32" ht="15" customHeight="1" x14ac:dyDescent="0.25">
      <c r="A68" s="25" t="str">
        <f>IF($Z$11&lt;=20,"Der Bemessungsabfluss liegt unterhalt der Bagatellgrenze von 20 l/s (keine Retention nötig).","")</f>
        <v/>
      </c>
      <c r="B68" s="2"/>
      <c r="C68" s="2"/>
      <c r="D68" s="2"/>
      <c r="E68" s="2"/>
      <c r="F68" s="2"/>
      <c r="G68" s="2"/>
      <c r="H68" s="2"/>
      <c r="I68" s="2"/>
      <c r="J68" s="2"/>
      <c r="K68" s="2"/>
      <c r="L68" s="2"/>
      <c r="M68" s="2"/>
      <c r="N68" s="2"/>
      <c r="O68" s="2"/>
      <c r="P68" s="2"/>
      <c r="Q68" s="2"/>
      <c r="S68" s="2"/>
      <c r="T68" s="2"/>
      <c r="U68" s="2"/>
      <c r="V68" s="2"/>
      <c r="W68" s="2"/>
      <c r="X68" s="2"/>
      <c r="Y68" s="2"/>
      <c r="Z68" s="41"/>
      <c r="AA68" s="41"/>
      <c r="AB68" s="41"/>
      <c r="AC68" s="41"/>
      <c r="AD68" s="41"/>
      <c r="AE68" s="2"/>
      <c r="AF68" s="2"/>
    </row>
    <row r="69" spans="1:32" ht="15" customHeight="1" x14ac:dyDescent="0.25">
      <c r="A69" s="51"/>
    </row>
  </sheetData>
  <sheetProtection algorithmName="SHA-512" hashValue="gzIAswa++2dMOjEPpheJ7WpY7IPwI9JeZ+gT6Hgm/2PW5wFfKfPxhaognEyRfLGQJvqY2L1xvsmFcVBfzm+ocQ==" saltValue="ABtGFSvL388wNJfujaurkA==" spinCount="100000" sheet="1" objects="1" scenarios="1"/>
  <mergeCells count="74">
    <mergeCell ref="D2:P2"/>
    <mergeCell ref="T2:AF2"/>
    <mergeCell ref="F31:H31"/>
    <mergeCell ref="Z18:AD18"/>
    <mergeCell ref="Z19:AD19"/>
    <mergeCell ref="Z22:AD22"/>
    <mergeCell ref="Z21:AD21"/>
    <mergeCell ref="Z29:AD29"/>
    <mergeCell ref="Z31:AD31"/>
    <mergeCell ref="Z30:AD30"/>
    <mergeCell ref="I23:M23"/>
    <mergeCell ref="I24:M24"/>
    <mergeCell ref="I25:M25"/>
    <mergeCell ref="I31:M31"/>
    <mergeCell ref="Z5:AD5"/>
    <mergeCell ref="Z6:AD6"/>
    <mergeCell ref="I5:M5"/>
    <mergeCell ref="I6:M6"/>
    <mergeCell ref="I7:M7"/>
    <mergeCell ref="I32:M32"/>
    <mergeCell ref="I29:M29"/>
    <mergeCell ref="I30:M30"/>
    <mergeCell ref="I10:M10"/>
    <mergeCell ref="I13:M13"/>
    <mergeCell ref="I14:M14"/>
    <mergeCell ref="I21:M21"/>
    <mergeCell ref="I22:M22"/>
    <mergeCell ref="I18:M18"/>
    <mergeCell ref="I19:M19"/>
    <mergeCell ref="I20:M20"/>
    <mergeCell ref="I12:M12"/>
    <mergeCell ref="I11:M11"/>
    <mergeCell ref="I52:M52"/>
    <mergeCell ref="I49:M49"/>
    <mergeCell ref="I53:M53"/>
    <mergeCell ref="Z11:AD11"/>
    <mergeCell ref="Z8:AD8"/>
    <mergeCell ref="I8:M8"/>
    <mergeCell ref="Z9:AD9"/>
    <mergeCell ref="I34:M34"/>
    <mergeCell ref="Z10:AD10"/>
    <mergeCell ref="I9:M9"/>
    <mergeCell ref="F36:H36"/>
    <mergeCell ref="I37:M37"/>
    <mergeCell ref="I35:M35"/>
    <mergeCell ref="Z57:AD57"/>
    <mergeCell ref="Z48:AD48"/>
    <mergeCell ref="Z44:AD44"/>
    <mergeCell ref="Z37:AD37"/>
    <mergeCell ref="Z36:AD36"/>
    <mergeCell ref="Y39:AD39"/>
    <mergeCell ref="E47:H47"/>
    <mergeCell ref="I36:M36"/>
    <mergeCell ref="I39:M39"/>
    <mergeCell ref="I51:M51"/>
    <mergeCell ref="I50:M50"/>
    <mergeCell ref="I40:M40"/>
    <mergeCell ref="I38:M38"/>
    <mergeCell ref="Z66:AD66"/>
    <mergeCell ref="Z47:AD47"/>
    <mergeCell ref="Z38:AD38"/>
    <mergeCell ref="Z67:AD67"/>
    <mergeCell ref="I60:M60"/>
    <mergeCell ref="Z58:AD58"/>
    <mergeCell ref="I61:M61"/>
    <mergeCell ref="I62:M62"/>
    <mergeCell ref="I58:M58"/>
    <mergeCell ref="Z59:AD59"/>
    <mergeCell ref="I45:M45"/>
    <mergeCell ref="I46:M46"/>
    <mergeCell ref="I57:M57"/>
    <mergeCell ref="I44:M44"/>
    <mergeCell ref="I47:M47"/>
    <mergeCell ref="I48:M48"/>
  </mergeCells>
  <conditionalFormatting sqref="A48:O48 A47:D47 I47:O47">
    <cfRule type="expression" dxfId="47" priority="33">
      <formula>$I$44="stehend"</formula>
    </cfRule>
  </conditionalFormatting>
  <conditionalFormatting sqref="I48:M48">
    <cfRule type="expression" dxfId="46" priority="32">
      <formula>$I$49&gt;=1</formula>
    </cfRule>
  </conditionalFormatting>
  <conditionalFormatting sqref="I47:M47">
    <cfRule type="expression" dxfId="45" priority="31">
      <formula>$I$44=""</formula>
    </cfRule>
  </conditionalFormatting>
  <conditionalFormatting sqref="A17:AF17">
    <cfRule type="expression" priority="26">
      <formula>$I$13&gt;0.34</formula>
    </cfRule>
  </conditionalFormatting>
  <conditionalFormatting sqref="I36:M38">
    <cfRule type="expression" dxfId="44" priority="25">
      <formula>$I$35="dezentral"</formula>
    </cfRule>
  </conditionalFormatting>
  <conditionalFormatting sqref="I38:M38">
    <cfRule type="expression" dxfId="43" priority="34">
      <formula>OR($I$39="unzulässig",$I$36="&lt; 1",$I$37="keine")</formula>
    </cfRule>
  </conditionalFormatting>
  <conditionalFormatting sqref="I37:M37">
    <cfRule type="expression" dxfId="42" priority="35">
      <formula>OR($I$39="unzulässig",$I$36="&lt; 1")</formula>
    </cfRule>
  </conditionalFormatting>
  <conditionalFormatting sqref="I36:M36">
    <cfRule type="expression" dxfId="41" priority="36">
      <formula>$I$39="unzulässig"</formula>
    </cfRule>
  </conditionalFormatting>
  <conditionalFormatting sqref="Q35:AF39">
    <cfRule type="expression" dxfId="40" priority="24">
      <formula>$I$35="dezentral"</formula>
    </cfRule>
  </conditionalFormatting>
  <conditionalFormatting sqref="Q28:AF32">
    <cfRule type="expression" dxfId="39" priority="19">
      <formula>$I$35="zentral"</formula>
    </cfRule>
  </conditionalFormatting>
  <conditionalFormatting sqref="Q32:AF32">
    <cfRule type="expression" dxfId="38" priority="22">
      <formula>$I$35="dezentral"</formula>
    </cfRule>
  </conditionalFormatting>
  <conditionalFormatting sqref="Q35">
    <cfRule type="expression" dxfId="37" priority="20">
      <formula>$I$35="dezentral"</formula>
    </cfRule>
  </conditionalFormatting>
  <conditionalFormatting sqref="P28">
    <cfRule type="expression" dxfId="36" priority="23">
      <formula>$I$35="zentral"</formula>
    </cfRule>
  </conditionalFormatting>
  <conditionalFormatting sqref="I11:M11 I5:M7 I9:M9 I8">
    <cfRule type="notContainsBlanks" dxfId="35" priority="38">
      <formula>LEN(TRIM(I5))&gt;0</formula>
    </cfRule>
  </conditionalFormatting>
  <conditionalFormatting sqref="I18:M22">
    <cfRule type="notContainsBlanks" dxfId="34" priority="17">
      <formula>LEN(TRIM(I18))&gt;0</formula>
    </cfRule>
  </conditionalFormatting>
  <conditionalFormatting sqref="I29:M38">
    <cfRule type="notContainsBlanks" dxfId="33" priority="16">
      <formula>LEN(TRIM(I29))&gt;0</formula>
    </cfRule>
  </conditionalFormatting>
  <conditionalFormatting sqref="I44:M44 I47:M48">
    <cfRule type="notContainsBlanks" dxfId="32" priority="15">
      <formula>LEN(TRIM(I44))&gt;0</formula>
    </cfRule>
  </conditionalFormatting>
  <conditionalFormatting sqref="I57:M58">
    <cfRule type="notContainsBlanks" dxfId="31" priority="14">
      <formula>LEN(TRIM(I57))&gt;0</formula>
    </cfRule>
  </conditionalFormatting>
  <conditionalFormatting sqref="I10:M10">
    <cfRule type="notContainsBlanks" dxfId="30" priority="13">
      <formula>LEN(TRIM(I10))&gt;0</formula>
    </cfRule>
  </conditionalFormatting>
  <conditionalFormatting sqref="I45:M46">
    <cfRule type="expression" dxfId="29" priority="10">
      <formula>$I$44=""</formula>
    </cfRule>
    <cfRule type="expression" dxfId="28" priority="11">
      <formula>$I$44="stehend"</formula>
    </cfRule>
    <cfRule type="notContainsBlanks" dxfId="27" priority="12">
      <formula>LEN(TRIM(I45))&gt;0</formula>
    </cfRule>
  </conditionalFormatting>
  <conditionalFormatting sqref="D2">
    <cfRule type="expression" dxfId="26" priority="8">
      <formula>$I$35="dezentral"</formula>
    </cfRule>
  </conditionalFormatting>
  <conditionalFormatting sqref="D2">
    <cfRule type="expression" dxfId="25" priority="9">
      <formula>OR($I$39="unzulässig",$I$36="&lt; 1",$I$37="keine")</formula>
    </cfRule>
  </conditionalFormatting>
  <conditionalFormatting sqref="D2">
    <cfRule type="notContainsBlanks" dxfId="24" priority="7">
      <formula>LEN(TRIM(D2))&gt;0</formula>
    </cfRule>
  </conditionalFormatting>
  <conditionalFormatting sqref="T2">
    <cfRule type="notContainsBlanks" dxfId="23" priority="1">
      <formula>LEN(TRIM(T2))&gt;0</formula>
    </cfRule>
  </conditionalFormatting>
  <conditionalFormatting sqref="T2">
    <cfRule type="expression" dxfId="22" priority="2">
      <formula>$I$35="dezentral"</formula>
    </cfRule>
  </conditionalFormatting>
  <conditionalFormatting sqref="T2">
    <cfRule type="expression" dxfId="21" priority="3">
      <formula>OR($I$39="unzulässig",$I$36="&lt; 1",$I$37="keine")</formula>
    </cfRule>
  </conditionalFormatting>
  <dataValidations count="5">
    <dataValidation type="list" allowBlank="1" showInputMessage="1" showErrorMessage="1" sqref="I48:M48">
      <formula1>INDIRECT($I$44)</formula1>
    </dataValidation>
    <dataValidation type="list" allowBlank="1" showInputMessage="1" showErrorMessage="1" sqref="I58:M58">
      <formula1>INDIRECT(I57)</formula1>
    </dataValidation>
    <dataValidation type="whole" allowBlank="1" showInputMessage="1" showErrorMessage="1" errorTitle="Inkorrekte X-Koordinate" error="Die X-Koordinate muss sich im Kanton Graubünden befinden und sich zwischen 2'692'837 und 2'833'858 bewegen." sqref="I29:M29 I45:M45">
      <formula1>2692837</formula1>
      <formula2>2833858</formula2>
    </dataValidation>
    <dataValidation type="whole" allowBlank="1" showInputMessage="1" showErrorMessage="1" errorTitle="Inkorrekte Y-Koordinate" error="Die Y-Koordinate muss sich im Kanton Graubünden befinden und sich zwischen 1'114'568 und 1'214'818 bewegen." sqref="I30:M30 I46:M46">
      <formula1>1114568</formula1>
      <formula2>1214818</formula2>
    </dataValidation>
    <dataValidation type="decimal" allowBlank="1" showInputMessage="1" showErrorMessage="1" errorTitle="Ungültiges Leitungsgefälle" error="Das durchschnittliche Leitungsgefälle sollte sich zwischen 0.5 % und 10 % bewegen." sqref="I8:M8">
      <formula1>0.5</formula1>
      <formula2>10</formula2>
    </dataValidation>
  </dataValidations>
  <pageMargins left="0.70866141732283472" right="0.70866141732283472" top="0.78740157480314965" bottom="0.78740157480314965" header="0.31496062992125984" footer="0.31496062992125984"/>
  <pageSetup paperSize="9" orientation="portrait" horizontalDpi="90" verticalDpi="90" r:id="rId1"/>
  <headerFooter>
    <oddHeader>&amp;L&amp;G&amp;R&amp;8Berechnungstool zur Strassenentwässerung des ANU und TBA 
Zentrale Schlammsammler</oddHeader>
    <oddFooter>&amp;R&amp;8Version: 28. Juni 2022
Autor: M. Uldack, ANU GR</oddFooter>
  </headerFooter>
  <legacyDrawingHF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'1'!$A$4:$A$6</xm:f>
          </x14:formula1>
          <xm:sqref>I9:M9</xm:sqref>
        </x14:dataValidation>
        <x14:dataValidation type="list" allowBlank="1" showInputMessage="1" showErrorMessage="1">
          <x14:formula1>
            <xm:f>'1'!$K$4:$K$5</xm:f>
          </x14:formula1>
          <xm:sqref>I10:M10</xm:sqref>
        </x14:dataValidation>
        <x14:dataValidation type="list" allowBlank="1" showInputMessage="1" showErrorMessage="1">
          <x14:formula1>
            <xm:f>'1'!$O$4:$O$7</xm:f>
          </x14:formula1>
          <xm:sqref>I11:M11</xm:sqref>
        </x14:dataValidation>
        <x14:dataValidation type="list" allowBlank="1" showInputMessage="1" showErrorMessage="1">
          <x14:formula1>
            <xm:f>'1'!$U$4:$U$5</xm:f>
          </x14:formula1>
          <xm:sqref>I21:M21 I57:M57</xm:sqref>
        </x14:dataValidation>
        <x14:dataValidation type="list" allowBlank="1" showInputMessage="1" showErrorMessage="1">
          <x14:formula1>
            <xm:f>'1'!$Y$4:$Y$6</xm:f>
          </x14:formula1>
          <xm:sqref>I19:M19</xm:sqref>
        </x14:dataValidation>
        <x14:dataValidation type="list" allowBlank="1" showInputMessage="1" showErrorMessage="1">
          <x14:formula1>
            <xm:f>'1'!$A$12:$A$13</xm:f>
          </x14:formula1>
          <xm:sqref>I20:M20</xm:sqref>
        </x14:dataValidation>
        <x14:dataValidation type="list" allowBlank="1" showInputMessage="1" showErrorMessage="1">
          <x14:formula1>
            <xm:f>'1'!$O$12:$O$13</xm:f>
          </x14:formula1>
          <xm:sqref>I44:M44</xm:sqref>
        </x14:dataValidation>
        <x14:dataValidation type="list" allowBlank="1" showInputMessage="1" showErrorMessage="1">
          <x14:formula1>
            <xm:f>'1'!$J$17:$J$20</xm:f>
          </x14:formula1>
          <xm:sqref>I31:M31</xm:sqref>
        </x14:dataValidation>
        <x14:dataValidation type="list" allowBlank="1" showInputMessage="1" showErrorMessage="1">
          <x14:formula1>
            <xm:f>'1'!$T$17:$T$18</xm:f>
          </x14:formula1>
          <xm:sqref>I32:M32</xm:sqref>
        </x14:dataValidation>
        <x14:dataValidation type="list" allowBlank="1" showInputMessage="1" showErrorMessage="1">
          <x14:formula1>
            <xm:f>'1'!$S$23:$S$24</xm:f>
          </x14:formula1>
          <xm:sqref>I36:M36</xm:sqref>
        </x14:dataValidation>
        <x14:dataValidation type="list" allowBlank="1" showInputMessage="1" showErrorMessage="1">
          <x14:formula1>
            <xm:f>'1'!$X$23:$X$26</xm:f>
          </x14:formula1>
          <xm:sqref>I37:M37</xm:sqref>
        </x14:dataValidation>
        <x14:dataValidation type="list" allowBlank="1" showInputMessage="1" showErrorMessage="1">
          <x14:formula1>
            <xm:f>'1'!$G$30:$G$31</xm:f>
          </x14:formula1>
          <xm:sqref>I35:M35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F52"/>
  <sheetViews>
    <sheetView view="pageLayout" zoomScaleNormal="100" workbookViewId="0">
      <selection activeCell="AA1" sqref="AA1:AF1"/>
    </sheetView>
  </sheetViews>
  <sheetFormatPr baseColWidth="10" defaultColWidth="0" defaultRowHeight="0" customHeight="1" zeroHeight="1" x14ac:dyDescent="0.25"/>
  <cols>
    <col min="1" max="32" width="2.375" style="1" customWidth="1"/>
    <col min="33" max="16384" width="11" style="1" hidden="1"/>
  </cols>
  <sheetData>
    <row r="1" spans="1:32" ht="15" customHeight="1" x14ac:dyDescent="0.25">
      <c r="A1" s="282" t="s">
        <v>180</v>
      </c>
      <c r="B1" s="282"/>
      <c r="C1" s="282"/>
      <c r="D1" s="282"/>
      <c r="E1" s="282"/>
      <c r="F1" s="282"/>
      <c r="G1" s="2"/>
      <c r="H1" s="2"/>
      <c r="I1" s="2"/>
      <c r="J1" s="2"/>
      <c r="K1" s="2"/>
      <c r="L1" s="2"/>
      <c r="M1" s="2"/>
      <c r="N1" s="282" t="s">
        <v>170</v>
      </c>
      <c r="O1" s="282"/>
      <c r="P1" s="282"/>
      <c r="Q1" s="282"/>
      <c r="R1" s="282"/>
      <c r="S1" s="282"/>
      <c r="T1" s="2"/>
      <c r="U1" s="2"/>
      <c r="V1" s="2"/>
      <c r="W1" s="2"/>
      <c r="X1" s="2"/>
      <c r="Y1" s="2"/>
      <c r="Z1" s="2"/>
      <c r="AA1" s="282" t="s">
        <v>228</v>
      </c>
      <c r="AB1" s="282"/>
      <c r="AC1" s="282"/>
      <c r="AD1" s="282"/>
      <c r="AE1" s="282"/>
      <c r="AF1" s="282"/>
    </row>
    <row r="2" spans="1:32" ht="15" customHeight="1" x14ac:dyDescent="0.25"/>
    <row r="3" spans="1:32" ht="15" customHeight="1" x14ac:dyDescent="0.25">
      <c r="A3" s="1" t="s">
        <v>7</v>
      </c>
      <c r="I3" s="49" t="s">
        <v>80</v>
      </c>
    </row>
    <row r="4" spans="1:32" ht="15" customHeight="1" x14ac:dyDescent="0.25"/>
    <row r="5" spans="1:32" ht="15" customHeight="1" x14ac:dyDescent="0.25">
      <c r="A5" s="304" t="s">
        <v>82</v>
      </c>
      <c r="B5" s="304"/>
      <c r="C5" s="304"/>
      <c r="D5" s="304"/>
      <c r="E5" s="304"/>
      <c r="F5" s="304"/>
      <c r="G5" s="304" t="s">
        <v>63</v>
      </c>
      <c r="H5" s="304"/>
      <c r="I5" s="304"/>
      <c r="J5" s="304"/>
      <c r="K5" s="304"/>
      <c r="L5" s="304" t="s">
        <v>65</v>
      </c>
      <c r="M5" s="304"/>
      <c r="N5" s="304"/>
      <c r="O5" s="304"/>
      <c r="P5" s="304"/>
      <c r="Q5" s="304" t="s">
        <v>12</v>
      </c>
      <c r="R5" s="304"/>
      <c r="S5" s="304"/>
      <c r="T5" s="304"/>
      <c r="U5" s="304" t="s">
        <v>84</v>
      </c>
      <c r="V5" s="304"/>
      <c r="W5" s="304"/>
      <c r="X5" s="304"/>
      <c r="Y5" s="304"/>
      <c r="Z5" s="304"/>
      <c r="AB5" s="1" t="s">
        <v>88</v>
      </c>
    </row>
    <row r="6" spans="1:32" ht="15" customHeight="1" x14ac:dyDescent="0.25">
      <c r="A6" s="304" t="s">
        <v>85</v>
      </c>
      <c r="B6" s="304"/>
      <c r="C6" s="304"/>
      <c r="D6" s="304"/>
      <c r="E6" s="304" t="s">
        <v>83</v>
      </c>
      <c r="F6" s="304"/>
      <c r="G6" s="304" t="s">
        <v>85</v>
      </c>
      <c r="H6" s="304"/>
      <c r="I6" s="304"/>
      <c r="J6" s="304" t="s">
        <v>83</v>
      </c>
      <c r="K6" s="304"/>
      <c r="L6" s="304" t="s">
        <v>15</v>
      </c>
      <c r="M6" s="304"/>
      <c r="N6" s="304"/>
      <c r="O6" s="304" t="s">
        <v>83</v>
      </c>
      <c r="P6" s="304"/>
      <c r="Q6" s="299" t="s">
        <v>15</v>
      </c>
      <c r="R6" s="300"/>
      <c r="S6" s="300"/>
      <c r="T6" s="303"/>
      <c r="U6" s="304" t="s">
        <v>83</v>
      </c>
      <c r="V6" s="304"/>
      <c r="W6" s="304"/>
      <c r="X6" s="304"/>
      <c r="Y6" s="304"/>
      <c r="Z6" s="304"/>
    </row>
    <row r="7" spans="1:32" ht="15" customHeight="1" x14ac:dyDescent="0.25">
      <c r="A7" s="254" t="s">
        <v>77</v>
      </c>
      <c r="B7" s="254"/>
      <c r="C7" s="254"/>
      <c r="D7" s="254"/>
      <c r="E7" s="254">
        <v>0</v>
      </c>
      <c r="F7" s="254"/>
      <c r="G7" s="254" t="s">
        <v>79</v>
      </c>
      <c r="H7" s="254"/>
      <c r="I7" s="254"/>
      <c r="J7" s="254">
        <v>0</v>
      </c>
      <c r="K7" s="254"/>
      <c r="L7" s="254" t="s">
        <v>69</v>
      </c>
      <c r="M7" s="254"/>
      <c r="N7" s="254"/>
      <c r="O7" s="254">
        <v>0</v>
      </c>
      <c r="P7" s="254"/>
      <c r="Q7" s="256" t="b">
        <f>AND(A7=Berechnungstool!$I$19,G7=Berechnungstool!$I$20,L7=Berechnungstool!$I$21)</f>
        <v>0</v>
      </c>
      <c r="R7" s="257"/>
      <c r="S7" s="257"/>
      <c r="T7" s="258"/>
      <c r="U7" s="254">
        <f>E7+J7+O7</f>
        <v>0</v>
      </c>
      <c r="V7" s="254"/>
      <c r="W7" s="254"/>
      <c r="X7" s="254"/>
      <c r="Y7" s="254"/>
      <c r="Z7" s="254"/>
    </row>
    <row r="8" spans="1:32" ht="15" customHeight="1" x14ac:dyDescent="0.25">
      <c r="A8" s="254" t="s">
        <v>77</v>
      </c>
      <c r="B8" s="254"/>
      <c r="C8" s="254"/>
      <c r="D8" s="254"/>
      <c r="E8" s="254">
        <v>0</v>
      </c>
      <c r="F8" s="254"/>
      <c r="G8" s="254" t="s">
        <v>79</v>
      </c>
      <c r="H8" s="254"/>
      <c r="I8" s="254"/>
      <c r="J8" s="254">
        <v>0</v>
      </c>
      <c r="K8" s="254"/>
      <c r="L8" s="254" t="s">
        <v>68</v>
      </c>
      <c r="M8" s="254"/>
      <c r="N8" s="254"/>
      <c r="O8" s="254">
        <v>1</v>
      </c>
      <c r="P8" s="254"/>
      <c r="Q8" s="256" t="b">
        <f>AND(A8=Berechnungstool!$I$19,G8=Berechnungstool!$I$20,L8=Berechnungstool!$I$21)</f>
        <v>0</v>
      </c>
      <c r="R8" s="257"/>
      <c r="S8" s="257"/>
      <c r="T8" s="258"/>
      <c r="U8" s="254">
        <f t="shared" ref="U8:U10" si="0">E8+J8+O8</f>
        <v>1</v>
      </c>
      <c r="V8" s="254"/>
      <c r="W8" s="254"/>
      <c r="X8" s="254"/>
      <c r="Y8" s="254"/>
      <c r="Z8" s="254"/>
    </row>
    <row r="9" spans="1:32" ht="15" customHeight="1" x14ac:dyDescent="0.25">
      <c r="A9" s="254" t="s">
        <v>77</v>
      </c>
      <c r="B9" s="254"/>
      <c r="C9" s="254"/>
      <c r="D9" s="254"/>
      <c r="E9" s="254">
        <v>0</v>
      </c>
      <c r="F9" s="254"/>
      <c r="G9" s="254" t="s">
        <v>78</v>
      </c>
      <c r="H9" s="254"/>
      <c r="I9" s="254"/>
      <c r="J9" s="254">
        <v>1</v>
      </c>
      <c r="K9" s="254"/>
      <c r="L9" s="254" t="s">
        <v>69</v>
      </c>
      <c r="M9" s="254"/>
      <c r="N9" s="254"/>
      <c r="O9" s="254">
        <v>0</v>
      </c>
      <c r="P9" s="254"/>
      <c r="Q9" s="256" t="b">
        <f>AND(A9=Berechnungstool!$I$19,G9=Berechnungstool!$I$20,L9=Berechnungstool!$I$21)</f>
        <v>0</v>
      </c>
      <c r="R9" s="257"/>
      <c r="S9" s="257"/>
      <c r="T9" s="258"/>
      <c r="U9" s="254">
        <f t="shared" si="0"/>
        <v>1</v>
      </c>
      <c r="V9" s="254"/>
      <c r="W9" s="254"/>
      <c r="X9" s="254"/>
      <c r="Y9" s="254"/>
      <c r="Z9" s="254"/>
    </row>
    <row r="10" spans="1:32" ht="15" customHeight="1" x14ac:dyDescent="0.25">
      <c r="A10" s="254" t="s">
        <v>77</v>
      </c>
      <c r="B10" s="254"/>
      <c r="C10" s="254"/>
      <c r="D10" s="254"/>
      <c r="E10" s="254">
        <v>0</v>
      </c>
      <c r="F10" s="254"/>
      <c r="G10" s="254" t="s">
        <v>78</v>
      </c>
      <c r="H10" s="254"/>
      <c r="I10" s="254"/>
      <c r="J10" s="254">
        <v>1</v>
      </c>
      <c r="K10" s="254"/>
      <c r="L10" s="254" t="s">
        <v>68</v>
      </c>
      <c r="M10" s="254"/>
      <c r="N10" s="254"/>
      <c r="O10" s="254">
        <v>1</v>
      </c>
      <c r="P10" s="254"/>
      <c r="Q10" s="256" t="b">
        <f>AND(A10=Berechnungstool!$I$19,G10=Berechnungstool!$I$20,L10=Berechnungstool!$I$21)</f>
        <v>0</v>
      </c>
      <c r="R10" s="257"/>
      <c r="S10" s="257"/>
      <c r="T10" s="258"/>
      <c r="U10" s="254">
        <f t="shared" si="0"/>
        <v>2</v>
      </c>
      <c r="V10" s="254"/>
      <c r="W10" s="254"/>
      <c r="X10" s="254"/>
      <c r="Y10" s="254"/>
      <c r="Z10" s="254"/>
    </row>
    <row r="11" spans="1:32" ht="15" customHeight="1" x14ac:dyDescent="0.25">
      <c r="A11" s="254" t="s">
        <v>76</v>
      </c>
      <c r="B11" s="254"/>
      <c r="C11" s="254"/>
      <c r="D11" s="254"/>
      <c r="E11" s="254">
        <v>1</v>
      </c>
      <c r="F11" s="254"/>
      <c r="G11" s="254" t="s">
        <v>79</v>
      </c>
      <c r="H11" s="254"/>
      <c r="I11" s="254"/>
      <c r="J11" s="254">
        <v>0</v>
      </c>
      <c r="K11" s="254"/>
      <c r="L11" s="254" t="s">
        <v>69</v>
      </c>
      <c r="M11" s="254"/>
      <c r="N11" s="254"/>
      <c r="O11" s="254">
        <v>0</v>
      </c>
      <c r="P11" s="254"/>
      <c r="Q11" s="256" t="b">
        <f>AND(A11=Berechnungstool!$I$19,G11=Berechnungstool!$I$20,L11=Berechnungstool!$I$21)</f>
        <v>0</v>
      </c>
      <c r="R11" s="257"/>
      <c r="S11" s="257"/>
      <c r="T11" s="258"/>
      <c r="U11" s="254">
        <f t="shared" ref="U11:U18" si="1">E11+J11+O11</f>
        <v>1</v>
      </c>
      <c r="V11" s="254"/>
      <c r="W11" s="254"/>
      <c r="X11" s="254"/>
      <c r="Y11" s="254"/>
      <c r="Z11" s="254"/>
    </row>
    <row r="12" spans="1:32" ht="15" customHeight="1" x14ac:dyDescent="0.25">
      <c r="A12" s="254" t="s">
        <v>76</v>
      </c>
      <c r="B12" s="254"/>
      <c r="C12" s="254"/>
      <c r="D12" s="254"/>
      <c r="E12" s="254">
        <v>1</v>
      </c>
      <c r="F12" s="254"/>
      <c r="G12" s="254" t="s">
        <v>79</v>
      </c>
      <c r="H12" s="254"/>
      <c r="I12" s="254"/>
      <c r="J12" s="254">
        <v>0</v>
      </c>
      <c r="K12" s="254"/>
      <c r="L12" s="254" t="s">
        <v>68</v>
      </c>
      <c r="M12" s="254"/>
      <c r="N12" s="254"/>
      <c r="O12" s="254">
        <v>1</v>
      </c>
      <c r="P12" s="254"/>
      <c r="Q12" s="256" t="b">
        <f>AND(A12=Berechnungstool!$I$19,G12=Berechnungstool!$I$20,L12=Berechnungstool!$I$21)</f>
        <v>0</v>
      </c>
      <c r="R12" s="257"/>
      <c r="S12" s="257"/>
      <c r="T12" s="258"/>
      <c r="U12" s="254">
        <f t="shared" si="1"/>
        <v>2</v>
      </c>
      <c r="V12" s="254"/>
      <c r="W12" s="254"/>
      <c r="X12" s="254"/>
      <c r="Y12" s="254"/>
      <c r="Z12" s="254"/>
    </row>
    <row r="13" spans="1:32" ht="15" customHeight="1" x14ac:dyDescent="0.25">
      <c r="A13" s="254" t="s">
        <v>76</v>
      </c>
      <c r="B13" s="254"/>
      <c r="C13" s="254"/>
      <c r="D13" s="254"/>
      <c r="E13" s="254">
        <v>1</v>
      </c>
      <c r="F13" s="254"/>
      <c r="G13" s="254" t="s">
        <v>78</v>
      </c>
      <c r="H13" s="254"/>
      <c r="I13" s="254"/>
      <c r="J13" s="254">
        <v>1</v>
      </c>
      <c r="K13" s="254"/>
      <c r="L13" s="254" t="s">
        <v>69</v>
      </c>
      <c r="M13" s="254"/>
      <c r="N13" s="254"/>
      <c r="O13" s="254">
        <v>0</v>
      </c>
      <c r="P13" s="254"/>
      <c r="Q13" s="256" t="b">
        <f>AND(A13=Berechnungstool!$I$19,G13=Berechnungstool!$I$20,L13=Berechnungstool!$I$21)</f>
        <v>0</v>
      </c>
      <c r="R13" s="257"/>
      <c r="S13" s="257"/>
      <c r="T13" s="258"/>
      <c r="U13" s="254">
        <f t="shared" si="1"/>
        <v>2</v>
      </c>
      <c r="V13" s="254"/>
      <c r="W13" s="254"/>
      <c r="X13" s="254"/>
      <c r="Y13" s="254"/>
      <c r="Z13" s="254"/>
    </row>
    <row r="14" spans="1:32" ht="15" customHeight="1" x14ac:dyDescent="0.25">
      <c r="A14" s="254" t="s">
        <v>76</v>
      </c>
      <c r="B14" s="254"/>
      <c r="C14" s="254"/>
      <c r="D14" s="254"/>
      <c r="E14" s="254">
        <v>1</v>
      </c>
      <c r="F14" s="254"/>
      <c r="G14" s="254" t="s">
        <v>78</v>
      </c>
      <c r="H14" s="254"/>
      <c r="I14" s="254"/>
      <c r="J14" s="254">
        <v>1</v>
      </c>
      <c r="K14" s="254"/>
      <c r="L14" s="254" t="s">
        <v>68</v>
      </c>
      <c r="M14" s="254"/>
      <c r="N14" s="254"/>
      <c r="O14" s="254">
        <v>1</v>
      </c>
      <c r="P14" s="254"/>
      <c r="Q14" s="256" t="b">
        <f>AND(A14=Berechnungstool!$I$19,G14=Berechnungstool!$I$20,L14=Berechnungstool!$I$21)</f>
        <v>0</v>
      </c>
      <c r="R14" s="257"/>
      <c r="S14" s="257"/>
      <c r="T14" s="258"/>
      <c r="U14" s="254">
        <f t="shared" si="1"/>
        <v>3</v>
      </c>
      <c r="V14" s="254"/>
      <c r="W14" s="254"/>
      <c r="X14" s="254"/>
      <c r="Y14" s="254"/>
      <c r="Z14" s="254"/>
    </row>
    <row r="15" spans="1:32" ht="15" customHeight="1" x14ac:dyDescent="0.25">
      <c r="A15" s="254" t="s">
        <v>78</v>
      </c>
      <c r="B15" s="254"/>
      <c r="C15" s="254"/>
      <c r="D15" s="254"/>
      <c r="E15" s="254">
        <v>2</v>
      </c>
      <c r="F15" s="254"/>
      <c r="G15" s="254" t="s">
        <v>79</v>
      </c>
      <c r="H15" s="254"/>
      <c r="I15" s="254"/>
      <c r="J15" s="254">
        <v>0</v>
      </c>
      <c r="K15" s="254"/>
      <c r="L15" s="254" t="s">
        <v>69</v>
      </c>
      <c r="M15" s="254"/>
      <c r="N15" s="254"/>
      <c r="O15" s="254">
        <v>0</v>
      </c>
      <c r="P15" s="254"/>
      <c r="Q15" s="256" t="b">
        <f>AND(A15=Berechnungstool!$I$19,G15=Berechnungstool!$I$20,L15=Berechnungstool!$I$21)</f>
        <v>0</v>
      </c>
      <c r="R15" s="257"/>
      <c r="S15" s="257"/>
      <c r="T15" s="258"/>
      <c r="U15" s="254">
        <f t="shared" si="1"/>
        <v>2</v>
      </c>
      <c r="V15" s="254"/>
      <c r="W15" s="254"/>
      <c r="X15" s="254"/>
      <c r="Y15" s="254"/>
      <c r="Z15" s="254"/>
    </row>
    <row r="16" spans="1:32" ht="15" customHeight="1" x14ac:dyDescent="0.25">
      <c r="A16" s="254" t="s">
        <v>78</v>
      </c>
      <c r="B16" s="254"/>
      <c r="C16" s="254"/>
      <c r="D16" s="254"/>
      <c r="E16" s="254">
        <v>2</v>
      </c>
      <c r="F16" s="254"/>
      <c r="G16" s="254" t="s">
        <v>79</v>
      </c>
      <c r="H16" s="254"/>
      <c r="I16" s="254"/>
      <c r="J16" s="254">
        <v>0</v>
      </c>
      <c r="K16" s="254"/>
      <c r="L16" s="254" t="s">
        <v>68</v>
      </c>
      <c r="M16" s="254"/>
      <c r="N16" s="254"/>
      <c r="O16" s="254">
        <v>1</v>
      </c>
      <c r="P16" s="254"/>
      <c r="Q16" s="256" t="b">
        <f>AND(A16=Berechnungstool!$I$19,G16=Berechnungstool!$I$20,L16=Berechnungstool!$I$21)</f>
        <v>0</v>
      </c>
      <c r="R16" s="257"/>
      <c r="S16" s="257"/>
      <c r="T16" s="258"/>
      <c r="U16" s="254">
        <f t="shared" si="1"/>
        <v>3</v>
      </c>
      <c r="V16" s="254"/>
      <c r="W16" s="254"/>
      <c r="X16" s="254"/>
      <c r="Y16" s="254"/>
      <c r="Z16" s="254"/>
    </row>
    <row r="17" spans="1:26" ht="15" customHeight="1" x14ac:dyDescent="0.25">
      <c r="A17" s="254" t="s">
        <v>78</v>
      </c>
      <c r="B17" s="254"/>
      <c r="C17" s="254"/>
      <c r="D17" s="254"/>
      <c r="E17" s="254">
        <v>2</v>
      </c>
      <c r="F17" s="254"/>
      <c r="G17" s="254" t="s">
        <v>78</v>
      </c>
      <c r="H17" s="254"/>
      <c r="I17" s="254"/>
      <c r="J17" s="254">
        <v>1</v>
      </c>
      <c r="K17" s="254"/>
      <c r="L17" s="254" t="s">
        <v>69</v>
      </c>
      <c r="M17" s="254"/>
      <c r="N17" s="254"/>
      <c r="O17" s="254">
        <v>0</v>
      </c>
      <c r="P17" s="254"/>
      <c r="Q17" s="256" t="b">
        <f>AND(A17=Berechnungstool!$I$19,G17=Berechnungstool!$I$20,L17=Berechnungstool!$I$21)</f>
        <v>0</v>
      </c>
      <c r="R17" s="257"/>
      <c r="S17" s="257"/>
      <c r="T17" s="258"/>
      <c r="U17" s="254">
        <f t="shared" si="1"/>
        <v>3</v>
      </c>
      <c r="V17" s="254"/>
      <c r="W17" s="254"/>
      <c r="X17" s="254"/>
      <c r="Y17" s="254"/>
      <c r="Z17" s="254"/>
    </row>
    <row r="18" spans="1:26" ht="15" customHeight="1" x14ac:dyDescent="0.25">
      <c r="A18" s="254" t="s">
        <v>78</v>
      </c>
      <c r="B18" s="254"/>
      <c r="C18" s="254"/>
      <c r="D18" s="254"/>
      <c r="E18" s="254">
        <v>2</v>
      </c>
      <c r="F18" s="254"/>
      <c r="G18" s="254" t="s">
        <v>78</v>
      </c>
      <c r="H18" s="254"/>
      <c r="I18" s="254"/>
      <c r="J18" s="254">
        <v>1</v>
      </c>
      <c r="K18" s="254"/>
      <c r="L18" s="254" t="s">
        <v>68</v>
      </c>
      <c r="M18" s="254"/>
      <c r="N18" s="254"/>
      <c r="O18" s="254">
        <v>1</v>
      </c>
      <c r="P18" s="254"/>
      <c r="Q18" s="256" t="b">
        <f>AND(A18=Berechnungstool!$I$19,G18=Berechnungstool!$I$20,L18=Berechnungstool!$I$21)</f>
        <v>0</v>
      </c>
      <c r="R18" s="257"/>
      <c r="S18" s="257"/>
      <c r="T18" s="258"/>
      <c r="U18" s="254">
        <f t="shared" si="1"/>
        <v>4</v>
      </c>
      <c r="V18" s="254"/>
      <c r="W18" s="254"/>
      <c r="X18" s="254"/>
      <c r="Y18" s="254"/>
      <c r="Z18" s="254"/>
    </row>
    <row r="19" spans="1:26" ht="15" customHeight="1" x14ac:dyDescent="0.25"/>
    <row r="20" spans="1:26" ht="15" customHeight="1" x14ac:dyDescent="0.25"/>
    <row r="21" spans="1:26" ht="15" customHeight="1" x14ac:dyDescent="0.25"/>
    <row r="22" spans="1:26" ht="15" customHeight="1" x14ac:dyDescent="0.25"/>
    <row r="23" spans="1:26" ht="15" customHeight="1" x14ac:dyDescent="0.25"/>
    <row r="24" spans="1:26" ht="15" customHeight="1" x14ac:dyDescent="0.25"/>
    <row r="25" spans="1:26" ht="15" customHeight="1" x14ac:dyDescent="0.25"/>
    <row r="26" spans="1:26" ht="15" customHeight="1" x14ac:dyDescent="0.25"/>
    <row r="27" spans="1:26" ht="15" customHeight="1" x14ac:dyDescent="0.25"/>
    <row r="28" spans="1:26" ht="15" customHeight="1" x14ac:dyDescent="0.25"/>
    <row r="29" spans="1:26" ht="15" customHeight="1" x14ac:dyDescent="0.25"/>
    <row r="30" spans="1:26" ht="15" customHeight="1" x14ac:dyDescent="0.25"/>
    <row r="31" spans="1:26" ht="15" customHeight="1" x14ac:dyDescent="0.25"/>
    <row r="32" spans="1:26"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hidden="1" customHeight="1" x14ac:dyDescent="0.25"/>
    <row r="52" ht="15" hidden="1" customHeight="1" x14ac:dyDescent="0.25"/>
  </sheetData>
  <sheetProtection algorithmName="SHA-512" hashValue="mX5q+G07Xe99nkB2D/IcYwKYZTWmdF7/Mb+gZbNzYoHHZmgPotItAQsWqFFOWK8N5pN3ebW6CB7+nQt3nfw06Q==" saltValue="HrP+InXaYNbsbzfmw69pLQ==" spinCount="100000" sheet="1" objects="1" scenarios="1"/>
  <mergeCells count="112">
    <mergeCell ref="N1:S1"/>
    <mergeCell ref="A1:F1"/>
    <mergeCell ref="AA1:AF1"/>
    <mergeCell ref="Q18:T18"/>
    <mergeCell ref="U18:Z18"/>
    <mergeCell ref="A18:D18"/>
    <mergeCell ref="E18:F18"/>
    <mergeCell ref="G18:I18"/>
    <mergeCell ref="J18:K18"/>
    <mergeCell ref="L18:N18"/>
    <mergeCell ref="O18:P18"/>
    <mergeCell ref="Q16:T16"/>
    <mergeCell ref="U16:Z16"/>
    <mergeCell ref="A17:D17"/>
    <mergeCell ref="E17:F17"/>
    <mergeCell ref="G17:I17"/>
    <mergeCell ref="J17:K17"/>
    <mergeCell ref="L17:N17"/>
    <mergeCell ref="O17:P17"/>
    <mergeCell ref="Q17:T17"/>
    <mergeCell ref="U17:Z17"/>
    <mergeCell ref="Q12:T12"/>
    <mergeCell ref="Q13:T13"/>
    <mergeCell ref="Q14:T14"/>
    <mergeCell ref="A16:D16"/>
    <mergeCell ref="E16:F16"/>
    <mergeCell ref="G16:I16"/>
    <mergeCell ref="J16:K16"/>
    <mergeCell ref="L16:N16"/>
    <mergeCell ref="O16:P16"/>
    <mergeCell ref="L13:N13"/>
    <mergeCell ref="O13:P13"/>
    <mergeCell ref="A13:D13"/>
    <mergeCell ref="E13:F13"/>
    <mergeCell ref="G13:I13"/>
    <mergeCell ref="J13:K13"/>
    <mergeCell ref="A12:D12"/>
    <mergeCell ref="E12:F12"/>
    <mergeCell ref="G12:I12"/>
    <mergeCell ref="J12:K12"/>
    <mergeCell ref="L12:N12"/>
    <mergeCell ref="O12:P12"/>
    <mergeCell ref="Q6:T6"/>
    <mergeCell ref="Q7:T7"/>
    <mergeCell ref="Q8:T8"/>
    <mergeCell ref="Q9:T9"/>
    <mergeCell ref="Q10:T10"/>
    <mergeCell ref="Q11:T11"/>
    <mergeCell ref="A11:D11"/>
    <mergeCell ref="E11:F11"/>
    <mergeCell ref="G11:I11"/>
    <mergeCell ref="J11:K11"/>
    <mergeCell ref="L11:N11"/>
    <mergeCell ref="O11:P11"/>
    <mergeCell ref="A10:D10"/>
    <mergeCell ref="E10:F10"/>
    <mergeCell ref="G10:I10"/>
    <mergeCell ref="J10:K10"/>
    <mergeCell ref="L10:N10"/>
    <mergeCell ref="O10:P10"/>
    <mergeCell ref="U14:Z14"/>
    <mergeCell ref="A15:D15"/>
    <mergeCell ref="E15:F15"/>
    <mergeCell ref="G15:I15"/>
    <mergeCell ref="J15:K15"/>
    <mergeCell ref="L15:N15"/>
    <mergeCell ref="O15:P15"/>
    <mergeCell ref="U15:Z15"/>
    <mergeCell ref="A14:D14"/>
    <mergeCell ref="E14:F14"/>
    <mergeCell ref="G14:I14"/>
    <mergeCell ref="J14:K14"/>
    <mergeCell ref="L14:N14"/>
    <mergeCell ref="O14:P14"/>
    <mergeCell ref="Q15:T15"/>
    <mergeCell ref="E8:F8"/>
    <mergeCell ref="G8:I8"/>
    <mergeCell ref="J8:K8"/>
    <mergeCell ref="L8:N8"/>
    <mergeCell ref="O8:P8"/>
    <mergeCell ref="U8:Z8"/>
    <mergeCell ref="A9:D9"/>
    <mergeCell ref="E9:F9"/>
    <mergeCell ref="G9:I9"/>
    <mergeCell ref="J9:K9"/>
    <mergeCell ref="L9:N9"/>
    <mergeCell ref="O9:P9"/>
    <mergeCell ref="U9:Z9"/>
    <mergeCell ref="U13:Z13"/>
    <mergeCell ref="L5:P5"/>
    <mergeCell ref="Q5:T5"/>
    <mergeCell ref="U5:Z5"/>
    <mergeCell ref="G5:K5"/>
    <mergeCell ref="A5:F5"/>
    <mergeCell ref="A6:D6"/>
    <mergeCell ref="A7:D7"/>
    <mergeCell ref="E7:F7"/>
    <mergeCell ref="E6:F6"/>
    <mergeCell ref="J6:K6"/>
    <mergeCell ref="O6:P6"/>
    <mergeCell ref="L6:N6"/>
    <mergeCell ref="G6:I6"/>
    <mergeCell ref="U6:Z6"/>
    <mergeCell ref="U10:Z10"/>
    <mergeCell ref="U11:Z11"/>
    <mergeCell ref="U12:Z12"/>
    <mergeCell ref="G7:I7"/>
    <mergeCell ref="J7:K7"/>
    <mergeCell ref="L7:N7"/>
    <mergeCell ref="O7:P7"/>
    <mergeCell ref="U7:Z7"/>
    <mergeCell ref="A8:D8"/>
  </mergeCells>
  <conditionalFormatting sqref="Q7:T18">
    <cfRule type="cellIs" dxfId="15" priority="1" operator="equal">
      <formula>TRUE</formula>
    </cfRule>
  </conditionalFormatting>
  <hyperlinks>
    <hyperlink ref="N1:S1" location="INDEX!A1" display="🏠 INDEX"/>
    <hyperlink ref="AA1:AF1" location="'7'!A1" display="▶ 7"/>
    <hyperlink ref="A1:F1" location="'5'!A1" display="5 ◀"/>
  </hyperlinks>
  <pageMargins left="0.7" right="0.7" top="0.78740157499999996" bottom="0.78740157499999996" header="0.3" footer="0.3"/>
  <pageSetup paperSize="9" orientation="portrait" horizontalDpi="90" verticalDpi="90" r:id="rId1"/>
  <headerFooter>
    <oddHeader>&amp;L&amp;"-,Standard"6 - Belastungspunkte</oddHeader>
  </headerFooter>
  <extLst>
    <ext xmlns:x14="http://schemas.microsoft.com/office/spreadsheetml/2009/9/main" uri="{CCE6A557-97BC-4b89-ADB6-D9C93CAAB3DF}">
      <x14:dataValidations xmlns:xm="http://schemas.microsoft.com/office/excel/2006/main" disablePrompts="1" count="3">
        <x14:dataValidation type="list" allowBlank="1" showInputMessage="1" showErrorMessage="1">
          <x14:formula1>
            <xm:f>'1'!$Y$4:$Y$6</xm:f>
          </x14:formula1>
          <xm:sqref>A7:D18</xm:sqref>
        </x14:dataValidation>
        <x14:dataValidation type="list" allowBlank="1" showInputMessage="1" showErrorMessage="1">
          <x14:formula1>
            <xm:f>'1'!$A$12:$A$13</xm:f>
          </x14:formula1>
          <xm:sqref>G7:I18</xm:sqref>
        </x14:dataValidation>
        <x14:dataValidation type="list" allowBlank="1" showInputMessage="1" showErrorMessage="1">
          <x14:formula1>
            <xm:f>'1'!$U$4:$U$5</xm:f>
          </x14:formula1>
          <xm:sqref>L7:N18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F52"/>
  <sheetViews>
    <sheetView view="pageLayout" zoomScaleNormal="100" workbookViewId="0">
      <selection activeCell="AA1" sqref="AA1:AF1"/>
    </sheetView>
  </sheetViews>
  <sheetFormatPr baseColWidth="10" defaultColWidth="0" defaultRowHeight="0" customHeight="1" zeroHeight="1" x14ac:dyDescent="0.25"/>
  <cols>
    <col min="1" max="32" width="2.375" style="1" customWidth="1"/>
    <col min="33" max="16384" width="11" style="1" hidden="1"/>
  </cols>
  <sheetData>
    <row r="1" spans="1:32" ht="15" customHeight="1" x14ac:dyDescent="0.25">
      <c r="A1" s="282" t="s">
        <v>230</v>
      </c>
      <c r="B1" s="282"/>
      <c r="C1" s="282"/>
      <c r="D1" s="282"/>
      <c r="E1" s="282"/>
      <c r="F1" s="282"/>
      <c r="G1" s="2"/>
      <c r="H1" s="2"/>
      <c r="I1" s="2"/>
      <c r="J1" s="2"/>
      <c r="K1" s="2"/>
      <c r="L1" s="2"/>
      <c r="M1" s="2"/>
      <c r="N1" s="282" t="s">
        <v>170</v>
      </c>
      <c r="O1" s="282"/>
      <c r="P1" s="282"/>
      <c r="Q1" s="282"/>
      <c r="R1" s="282"/>
      <c r="S1" s="282"/>
      <c r="T1" s="2"/>
      <c r="U1" s="2"/>
      <c r="V1" s="2"/>
      <c r="W1" s="2"/>
      <c r="X1" s="2"/>
      <c r="Y1" s="2"/>
      <c r="Z1" s="2"/>
      <c r="AA1" s="282" t="s">
        <v>229</v>
      </c>
      <c r="AB1" s="282"/>
      <c r="AC1" s="282"/>
      <c r="AD1" s="282"/>
      <c r="AE1" s="282"/>
      <c r="AF1" s="282"/>
    </row>
    <row r="2" spans="1:32" ht="15" customHeight="1" x14ac:dyDescent="0.25"/>
    <row r="3" spans="1:32" ht="15" customHeight="1" x14ac:dyDescent="0.25">
      <c r="A3" s="1" t="s">
        <v>7</v>
      </c>
      <c r="I3" s="49" t="s">
        <v>80</v>
      </c>
    </row>
    <row r="4" spans="1:32" ht="15" customHeight="1" x14ac:dyDescent="0.25"/>
    <row r="5" spans="1:32" ht="15" customHeight="1" x14ac:dyDescent="0.25">
      <c r="A5" s="304" t="s">
        <v>133</v>
      </c>
      <c r="B5" s="304"/>
      <c r="C5" s="304"/>
      <c r="D5" s="304"/>
      <c r="E5" s="304"/>
      <c r="F5" s="304"/>
      <c r="G5" s="304"/>
      <c r="H5" s="304"/>
      <c r="I5" s="304"/>
      <c r="J5" s="304" t="s">
        <v>138</v>
      </c>
      <c r="K5" s="304"/>
      <c r="L5" s="304"/>
      <c r="M5" s="304"/>
      <c r="N5" s="304"/>
      <c r="O5" s="304"/>
      <c r="P5" s="304" t="s">
        <v>19</v>
      </c>
      <c r="Q5" s="304"/>
      <c r="R5" s="304"/>
      <c r="S5" s="304"/>
      <c r="T5" s="304"/>
      <c r="U5" s="304"/>
      <c r="V5" s="304" t="s">
        <v>12</v>
      </c>
      <c r="W5" s="304"/>
      <c r="X5" s="304"/>
      <c r="Y5" s="304"/>
      <c r="Z5" s="304" t="s">
        <v>93</v>
      </c>
      <c r="AA5" s="304"/>
      <c r="AB5" s="304"/>
      <c r="AC5" s="304"/>
    </row>
    <row r="6" spans="1:32" ht="15" customHeight="1" x14ac:dyDescent="0.25">
      <c r="A6" s="304" t="s">
        <v>15</v>
      </c>
      <c r="B6" s="304"/>
      <c r="C6" s="304"/>
      <c r="D6" s="304"/>
      <c r="E6" s="304"/>
      <c r="F6" s="304"/>
      <c r="G6" s="304"/>
      <c r="H6" s="304"/>
      <c r="I6" s="304"/>
      <c r="J6" s="304" t="s">
        <v>139</v>
      </c>
      <c r="K6" s="304"/>
      <c r="L6" s="304"/>
      <c r="M6" s="304"/>
      <c r="N6" s="304"/>
      <c r="O6" s="304"/>
      <c r="P6" s="304" t="s">
        <v>15</v>
      </c>
      <c r="Q6" s="304"/>
      <c r="R6" s="304"/>
      <c r="S6" s="304"/>
      <c r="T6" s="304"/>
      <c r="U6" s="304"/>
      <c r="V6" s="304" t="s">
        <v>15</v>
      </c>
      <c r="W6" s="304"/>
      <c r="X6" s="304"/>
      <c r="Y6" s="304"/>
      <c r="Z6" s="304" t="s">
        <v>15</v>
      </c>
      <c r="AA6" s="304"/>
      <c r="AB6" s="304"/>
      <c r="AC6" s="304"/>
    </row>
    <row r="7" spans="1:32" ht="15" customHeight="1" x14ac:dyDescent="0.25">
      <c r="A7" s="254" t="s">
        <v>134</v>
      </c>
      <c r="B7" s="254"/>
      <c r="C7" s="254"/>
      <c r="D7" s="254"/>
      <c r="E7" s="254"/>
      <c r="F7" s="254"/>
      <c r="G7" s="254"/>
      <c r="H7" s="254"/>
      <c r="I7" s="254"/>
      <c r="J7" s="254" t="s">
        <v>68</v>
      </c>
      <c r="K7" s="254"/>
      <c r="L7" s="254"/>
      <c r="M7" s="254"/>
      <c r="N7" s="254"/>
      <c r="O7" s="254"/>
      <c r="P7" s="254" t="s">
        <v>74</v>
      </c>
      <c r="Q7" s="254"/>
      <c r="R7" s="254"/>
      <c r="S7" s="254"/>
      <c r="T7" s="254"/>
      <c r="U7" s="254"/>
      <c r="V7" s="254" t="b">
        <f>AND(A7=Berechnungstool!$I$31,J7=Berechnungstool!$I$32,P7=Berechnungstool!$Z$22)</f>
        <v>0</v>
      </c>
      <c r="W7" s="254"/>
      <c r="X7" s="254"/>
      <c r="Y7" s="254"/>
      <c r="Z7" s="254" t="s">
        <v>94</v>
      </c>
      <c r="AA7" s="254"/>
      <c r="AB7" s="254"/>
      <c r="AC7" s="254"/>
    </row>
    <row r="8" spans="1:32" ht="15" customHeight="1" x14ac:dyDescent="0.25">
      <c r="A8" s="254" t="s">
        <v>134</v>
      </c>
      <c r="B8" s="254"/>
      <c r="C8" s="254"/>
      <c r="D8" s="254"/>
      <c r="E8" s="254"/>
      <c r="F8" s="254"/>
      <c r="G8" s="254"/>
      <c r="H8" s="254"/>
      <c r="I8" s="254"/>
      <c r="J8" s="254" t="s">
        <v>68</v>
      </c>
      <c r="K8" s="254"/>
      <c r="L8" s="254"/>
      <c r="M8" s="254"/>
      <c r="N8" s="254"/>
      <c r="O8" s="254"/>
      <c r="P8" s="254" t="s">
        <v>40</v>
      </c>
      <c r="Q8" s="254"/>
      <c r="R8" s="254"/>
      <c r="S8" s="254"/>
      <c r="T8" s="254"/>
      <c r="U8" s="254"/>
      <c r="V8" s="254" t="b">
        <f>AND(A8=Berechnungstool!$I$31,J8=Berechnungstool!$I$32,P8=Berechnungstool!$Z$22)</f>
        <v>0</v>
      </c>
      <c r="W8" s="254"/>
      <c r="X8" s="254"/>
      <c r="Y8" s="254"/>
      <c r="Z8" s="254" t="s">
        <v>94</v>
      </c>
      <c r="AA8" s="254"/>
      <c r="AB8" s="254"/>
      <c r="AC8" s="254"/>
    </row>
    <row r="9" spans="1:32" ht="15" customHeight="1" x14ac:dyDescent="0.25">
      <c r="A9" s="254" t="s">
        <v>134</v>
      </c>
      <c r="B9" s="254"/>
      <c r="C9" s="254"/>
      <c r="D9" s="254"/>
      <c r="E9" s="254"/>
      <c r="F9" s="254"/>
      <c r="G9" s="254"/>
      <c r="H9" s="254"/>
      <c r="I9" s="254"/>
      <c r="J9" s="254" t="s">
        <v>68</v>
      </c>
      <c r="K9" s="254"/>
      <c r="L9" s="254"/>
      <c r="M9" s="254"/>
      <c r="N9" s="254"/>
      <c r="O9" s="254"/>
      <c r="P9" s="254" t="s">
        <v>75</v>
      </c>
      <c r="Q9" s="254"/>
      <c r="R9" s="254"/>
      <c r="S9" s="254"/>
      <c r="T9" s="254"/>
      <c r="U9" s="254"/>
      <c r="V9" s="254" t="b">
        <f>AND(A9=Berechnungstool!$I$31,J9=Berechnungstool!$I$32,P9=Berechnungstool!$Z$22)</f>
        <v>0</v>
      </c>
      <c r="W9" s="254"/>
      <c r="X9" s="254"/>
      <c r="Y9" s="254"/>
      <c r="Z9" s="254" t="s">
        <v>94</v>
      </c>
      <c r="AA9" s="254"/>
      <c r="AB9" s="254"/>
      <c r="AC9" s="254"/>
    </row>
    <row r="10" spans="1:32" ht="15" customHeight="1" x14ac:dyDescent="0.25">
      <c r="A10" s="254" t="s">
        <v>134</v>
      </c>
      <c r="B10" s="254"/>
      <c r="C10" s="254"/>
      <c r="D10" s="254"/>
      <c r="E10" s="254"/>
      <c r="F10" s="254"/>
      <c r="G10" s="254"/>
      <c r="H10" s="254"/>
      <c r="I10" s="254"/>
      <c r="J10" s="254" t="s">
        <v>69</v>
      </c>
      <c r="K10" s="254"/>
      <c r="L10" s="254"/>
      <c r="M10" s="254"/>
      <c r="N10" s="254"/>
      <c r="O10" s="254"/>
      <c r="P10" s="254" t="s">
        <v>74</v>
      </c>
      <c r="Q10" s="254"/>
      <c r="R10" s="254"/>
      <c r="S10" s="254"/>
      <c r="T10" s="254"/>
      <c r="U10" s="254"/>
      <c r="V10" s="254" t="b">
        <f>AND(A10=Berechnungstool!$I$31,J10=Berechnungstool!$I$32,P10=Berechnungstool!$Z$22)</f>
        <v>0</v>
      </c>
      <c r="W10" s="254"/>
      <c r="X10" s="254"/>
      <c r="Y10" s="254"/>
      <c r="Z10" s="254" t="s">
        <v>95</v>
      </c>
      <c r="AA10" s="254"/>
      <c r="AB10" s="254"/>
      <c r="AC10" s="254"/>
    </row>
    <row r="11" spans="1:32" ht="15" customHeight="1" x14ac:dyDescent="0.25">
      <c r="A11" s="254" t="s">
        <v>134</v>
      </c>
      <c r="B11" s="254"/>
      <c r="C11" s="254"/>
      <c r="D11" s="254"/>
      <c r="E11" s="254"/>
      <c r="F11" s="254"/>
      <c r="G11" s="254"/>
      <c r="H11" s="254"/>
      <c r="I11" s="254"/>
      <c r="J11" s="254" t="s">
        <v>69</v>
      </c>
      <c r="K11" s="254"/>
      <c r="L11" s="254"/>
      <c r="M11" s="254"/>
      <c r="N11" s="254"/>
      <c r="O11" s="254"/>
      <c r="P11" s="254" t="s">
        <v>40</v>
      </c>
      <c r="Q11" s="254"/>
      <c r="R11" s="254"/>
      <c r="S11" s="254"/>
      <c r="T11" s="254"/>
      <c r="U11" s="254"/>
      <c r="V11" s="254" t="b">
        <f>AND(A11=Berechnungstool!$I$31,J11=Berechnungstool!$I$32,P11=Berechnungstool!$Z$22)</f>
        <v>0</v>
      </c>
      <c r="W11" s="254"/>
      <c r="X11" s="254"/>
      <c r="Y11" s="254"/>
      <c r="Z11" s="254" t="s">
        <v>95</v>
      </c>
      <c r="AA11" s="254"/>
      <c r="AB11" s="254"/>
      <c r="AC11" s="254"/>
    </row>
    <row r="12" spans="1:32" ht="15" customHeight="1" x14ac:dyDescent="0.25">
      <c r="A12" s="254" t="s">
        <v>134</v>
      </c>
      <c r="B12" s="254"/>
      <c r="C12" s="254"/>
      <c r="D12" s="254"/>
      <c r="E12" s="254"/>
      <c r="F12" s="254"/>
      <c r="G12" s="254"/>
      <c r="H12" s="254"/>
      <c r="I12" s="254"/>
      <c r="J12" s="254" t="s">
        <v>69</v>
      </c>
      <c r="K12" s="254"/>
      <c r="L12" s="254"/>
      <c r="M12" s="254"/>
      <c r="N12" s="254"/>
      <c r="O12" s="254"/>
      <c r="P12" s="254" t="s">
        <v>75</v>
      </c>
      <c r="Q12" s="254"/>
      <c r="R12" s="254"/>
      <c r="S12" s="254"/>
      <c r="T12" s="254"/>
      <c r="U12" s="254"/>
      <c r="V12" s="254" t="b">
        <f>AND(A12=Berechnungstool!$I$31,J12=Berechnungstool!$I$32,P12=Berechnungstool!$Z$22)</f>
        <v>0</v>
      </c>
      <c r="W12" s="254"/>
      <c r="X12" s="254"/>
      <c r="Y12" s="254"/>
      <c r="Z12" s="254" t="s">
        <v>96</v>
      </c>
      <c r="AA12" s="254"/>
      <c r="AB12" s="254"/>
      <c r="AC12" s="254"/>
    </row>
    <row r="13" spans="1:32" ht="15" customHeight="1" x14ac:dyDescent="0.25">
      <c r="A13" s="254" t="s">
        <v>135</v>
      </c>
      <c r="B13" s="254"/>
      <c r="C13" s="254"/>
      <c r="D13" s="254"/>
      <c r="E13" s="254"/>
      <c r="F13" s="254"/>
      <c r="G13" s="254"/>
      <c r="H13" s="254"/>
      <c r="I13" s="254"/>
      <c r="J13" s="254" t="s">
        <v>68</v>
      </c>
      <c r="K13" s="254"/>
      <c r="L13" s="254"/>
      <c r="M13" s="254"/>
      <c r="N13" s="254"/>
      <c r="O13" s="254"/>
      <c r="P13" s="254" t="s">
        <v>74</v>
      </c>
      <c r="Q13" s="254"/>
      <c r="R13" s="254"/>
      <c r="S13" s="254"/>
      <c r="T13" s="254"/>
      <c r="U13" s="254"/>
      <c r="V13" s="254" t="b">
        <f>AND(A13=Berechnungstool!$I$31,J13=Berechnungstool!$I$32,P13=Berechnungstool!$Z$22)</f>
        <v>0</v>
      </c>
      <c r="W13" s="254"/>
      <c r="X13" s="254"/>
      <c r="Y13" s="254"/>
      <c r="Z13" s="254" t="s">
        <v>94</v>
      </c>
      <c r="AA13" s="254"/>
      <c r="AB13" s="254"/>
      <c r="AC13" s="254"/>
    </row>
    <row r="14" spans="1:32" ht="15" customHeight="1" x14ac:dyDescent="0.25">
      <c r="A14" s="254" t="s">
        <v>135</v>
      </c>
      <c r="B14" s="254"/>
      <c r="C14" s="254"/>
      <c r="D14" s="254"/>
      <c r="E14" s="254"/>
      <c r="F14" s="254"/>
      <c r="G14" s="254"/>
      <c r="H14" s="254"/>
      <c r="I14" s="254"/>
      <c r="J14" s="254" t="s">
        <v>68</v>
      </c>
      <c r="K14" s="254"/>
      <c r="L14" s="254"/>
      <c r="M14" s="254"/>
      <c r="N14" s="254"/>
      <c r="O14" s="254"/>
      <c r="P14" s="254" t="s">
        <v>40</v>
      </c>
      <c r="Q14" s="254"/>
      <c r="R14" s="254"/>
      <c r="S14" s="254"/>
      <c r="T14" s="254"/>
      <c r="U14" s="254"/>
      <c r="V14" s="254" t="b">
        <f>AND(A14=Berechnungstool!$I$31,J14=Berechnungstool!$I$32,P14=Berechnungstool!$Z$22)</f>
        <v>0</v>
      </c>
      <c r="W14" s="254"/>
      <c r="X14" s="254"/>
      <c r="Y14" s="254"/>
      <c r="Z14" s="254" t="s">
        <v>94</v>
      </c>
      <c r="AA14" s="254"/>
      <c r="AB14" s="254"/>
      <c r="AC14" s="254"/>
    </row>
    <row r="15" spans="1:32" ht="15" customHeight="1" x14ac:dyDescent="0.25">
      <c r="A15" s="254" t="s">
        <v>135</v>
      </c>
      <c r="B15" s="254"/>
      <c r="C15" s="254"/>
      <c r="D15" s="254"/>
      <c r="E15" s="254"/>
      <c r="F15" s="254"/>
      <c r="G15" s="254"/>
      <c r="H15" s="254"/>
      <c r="I15" s="254"/>
      <c r="J15" s="254" t="s">
        <v>68</v>
      </c>
      <c r="K15" s="254"/>
      <c r="L15" s="254"/>
      <c r="M15" s="254"/>
      <c r="N15" s="254"/>
      <c r="O15" s="254"/>
      <c r="P15" s="254" t="s">
        <v>75</v>
      </c>
      <c r="Q15" s="254"/>
      <c r="R15" s="254"/>
      <c r="S15" s="254"/>
      <c r="T15" s="254"/>
      <c r="U15" s="254"/>
      <c r="V15" s="254" t="b">
        <f>AND(A15=Berechnungstool!$I$31,J15=Berechnungstool!$I$32,P15=Berechnungstool!$Z$22)</f>
        <v>0</v>
      </c>
      <c r="W15" s="254"/>
      <c r="X15" s="254"/>
      <c r="Y15" s="254"/>
      <c r="Z15" s="254" t="s">
        <v>94</v>
      </c>
      <c r="AA15" s="254"/>
      <c r="AB15" s="254"/>
      <c r="AC15" s="254"/>
    </row>
    <row r="16" spans="1:32" ht="15" customHeight="1" x14ac:dyDescent="0.25">
      <c r="A16" s="254" t="s">
        <v>135</v>
      </c>
      <c r="B16" s="254"/>
      <c r="C16" s="254"/>
      <c r="D16" s="254"/>
      <c r="E16" s="254"/>
      <c r="F16" s="254"/>
      <c r="G16" s="254"/>
      <c r="H16" s="254"/>
      <c r="I16" s="254"/>
      <c r="J16" s="254" t="s">
        <v>69</v>
      </c>
      <c r="K16" s="254"/>
      <c r="L16" s="254"/>
      <c r="M16" s="254"/>
      <c r="N16" s="254"/>
      <c r="O16" s="254"/>
      <c r="P16" s="254" t="s">
        <v>74</v>
      </c>
      <c r="Q16" s="254"/>
      <c r="R16" s="254"/>
      <c r="S16" s="254"/>
      <c r="T16" s="254"/>
      <c r="U16" s="254"/>
      <c r="V16" s="254" t="b">
        <f>AND(A16=Berechnungstool!$I$31,J16=Berechnungstool!$I$32,P16=Berechnungstool!$Z$22)</f>
        <v>0</v>
      </c>
      <c r="W16" s="254"/>
      <c r="X16" s="254"/>
      <c r="Y16" s="254"/>
      <c r="Z16" s="254" t="s">
        <v>95</v>
      </c>
      <c r="AA16" s="254"/>
      <c r="AB16" s="254"/>
      <c r="AC16" s="254"/>
    </row>
    <row r="17" spans="1:29" ht="15" customHeight="1" x14ac:dyDescent="0.25">
      <c r="A17" s="254" t="s">
        <v>135</v>
      </c>
      <c r="B17" s="254"/>
      <c r="C17" s="254"/>
      <c r="D17" s="254"/>
      <c r="E17" s="254"/>
      <c r="F17" s="254"/>
      <c r="G17" s="254"/>
      <c r="H17" s="254"/>
      <c r="I17" s="254"/>
      <c r="J17" s="254" t="s">
        <v>69</v>
      </c>
      <c r="K17" s="254"/>
      <c r="L17" s="254"/>
      <c r="M17" s="254"/>
      <c r="N17" s="254"/>
      <c r="O17" s="254"/>
      <c r="P17" s="254" t="s">
        <v>40</v>
      </c>
      <c r="Q17" s="254"/>
      <c r="R17" s="254"/>
      <c r="S17" s="254"/>
      <c r="T17" s="254"/>
      <c r="U17" s="254"/>
      <c r="V17" s="254" t="b">
        <f>AND(A17=Berechnungstool!$I$31,J17=Berechnungstool!$I$32,P17=Berechnungstool!$Z$22)</f>
        <v>0</v>
      </c>
      <c r="W17" s="254"/>
      <c r="X17" s="254"/>
      <c r="Y17" s="254"/>
      <c r="Z17" s="254" t="s">
        <v>95</v>
      </c>
      <c r="AA17" s="254"/>
      <c r="AB17" s="254"/>
      <c r="AC17" s="254"/>
    </row>
    <row r="18" spans="1:29" ht="15" customHeight="1" x14ac:dyDescent="0.25">
      <c r="A18" s="254" t="s">
        <v>135</v>
      </c>
      <c r="B18" s="254"/>
      <c r="C18" s="254"/>
      <c r="D18" s="254"/>
      <c r="E18" s="254"/>
      <c r="F18" s="254"/>
      <c r="G18" s="254"/>
      <c r="H18" s="254"/>
      <c r="I18" s="254"/>
      <c r="J18" s="254" t="s">
        <v>69</v>
      </c>
      <c r="K18" s="254"/>
      <c r="L18" s="254"/>
      <c r="M18" s="254"/>
      <c r="N18" s="254"/>
      <c r="O18" s="254"/>
      <c r="P18" s="254" t="s">
        <v>75</v>
      </c>
      <c r="Q18" s="254"/>
      <c r="R18" s="254"/>
      <c r="S18" s="254"/>
      <c r="T18" s="254"/>
      <c r="U18" s="254"/>
      <c r="V18" s="254" t="b">
        <f>AND(A18=Berechnungstool!$I$31,J18=Berechnungstool!$I$32,P18=Berechnungstool!$Z$22)</f>
        <v>0</v>
      </c>
      <c r="W18" s="254"/>
      <c r="X18" s="254"/>
      <c r="Y18" s="254"/>
      <c r="Z18" s="254" t="s">
        <v>96</v>
      </c>
      <c r="AA18" s="254"/>
      <c r="AB18" s="254"/>
      <c r="AC18" s="254"/>
    </row>
    <row r="19" spans="1:29" ht="15" customHeight="1" x14ac:dyDescent="0.25">
      <c r="A19" s="254" t="s">
        <v>136</v>
      </c>
      <c r="B19" s="254"/>
      <c r="C19" s="254"/>
      <c r="D19" s="254"/>
      <c r="E19" s="254"/>
      <c r="F19" s="254"/>
      <c r="G19" s="254"/>
      <c r="H19" s="254"/>
      <c r="I19" s="254"/>
      <c r="J19" s="254" t="s">
        <v>68</v>
      </c>
      <c r="K19" s="254"/>
      <c r="L19" s="254"/>
      <c r="M19" s="254"/>
      <c r="N19" s="254"/>
      <c r="O19" s="254"/>
      <c r="P19" s="254" t="s">
        <v>74</v>
      </c>
      <c r="Q19" s="254"/>
      <c r="R19" s="254"/>
      <c r="S19" s="254"/>
      <c r="T19" s="254"/>
      <c r="U19" s="254"/>
      <c r="V19" s="254" t="b">
        <f>AND(A19=Berechnungstool!$I$31,J19=Berechnungstool!$I$32,P19=Berechnungstool!$Z$22)</f>
        <v>0</v>
      </c>
      <c r="W19" s="254"/>
      <c r="X19" s="254"/>
      <c r="Y19" s="254"/>
      <c r="Z19" s="254" t="s">
        <v>94</v>
      </c>
      <c r="AA19" s="254"/>
      <c r="AB19" s="254"/>
      <c r="AC19" s="254"/>
    </row>
    <row r="20" spans="1:29" ht="15" customHeight="1" x14ac:dyDescent="0.25">
      <c r="A20" s="254" t="s">
        <v>136</v>
      </c>
      <c r="B20" s="254"/>
      <c r="C20" s="254"/>
      <c r="D20" s="254"/>
      <c r="E20" s="254"/>
      <c r="F20" s="254"/>
      <c r="G20" s="254"/>
      <c r="H20" s="254"/>
      <c r="I20" s="254"/>
      <c r="J20" s="254" t="s">
        <v>68</v>
      </c>
      <c r="K20" s="254"/>
      <c r="L20" s="254"/>
      <c r="M20" s="254"/>
      <c r="N20" s="254"/>
      <c r="O20" s="254"/>
      <c r="P20" s="254" t="s">
        <v>40</v>
      </c>
      <c r="Q20" s="254"/>
      <c r="R20" s="254"/>
      <c r="S20" s="254"/>
      <c r="T20" s="254"/>
      <c r="U20" s="254"/>
      <c r="V20" s="254" t="b">
        <f>AND(A20=Berechnungstool!$I$31,J20=Berechnungstool!$I$32,P20=Berechnungstool!$Z$22)</f>
        <v>0</v>
      </c>
      <c r="W20" s="254"/>
      <c r="X20" s="254"/>
      <c r="Y20" s="254"/>
      <c r="Z20" s="254" t="s">
        <v>143</v>
      </c>
      <c r="AA20" s="254"/>
      <c r="AB20" s="254"/>
      <c r="AC20" s="254"/>
    </row>
    <row r="21" spans="1:29" ht="15" customHeight="1" x14ac:dyDescent="0.25">
      <c r="A21" s="254" t="s">
        <v>136</v>
      </c>
      <c r="B21" s="254"/>
      <c r="C21" s="254"/>
      <c r="D21" s="254"/>
      <c r="E21" s="254"/>
      <c r="F21" s="254"/>
      <c r="G21" s="254"/>
      <c r="H21" s="254"/>
      <c r="I21" s="254"/>
      <c r="J21" s="254" t="s">
        <v>68</v>
      </c>
      <c r="K21" s="254"/>
      <c r="L21" s="254"/>
      <c r="M21" s="254"/>
      <c r="N21" s="254"/>
      <c r="O21" s="254"/>
      <c r="P21" s="254" t="s">
        <v>75</v>
      </c>
      <c r="Q21" s="254"/>
      <c r="R21" s="254"/>
      <c r="S21" s="254"/>
      <c r="T21" s="254"/>
      <c r="U21" s="254"/>
      <c r="V21" s="254" t="b">
        <f>AND(A21=Berechnungstool!$I$31,J21=Berechnungstool!$I$32,P21=Berechnungstool!$Z$22)</f>
        <v>0</v>
      </c>
      <c r="W21" s="254"/>
      <c r="X21" s="254"/>
      <c r="Y21" s="254"/>
      <c r="Z21" s="254" t="s">
        <v>143</v>
      </c>
      <c r="AA21" s="254"/>
      <c r="AB21" s="254"/>
      <c r="AC21" s="254"/>
    </row>
    <row r="22" spans="1:29" ht="15" customHeight="1" x14ac:dyDescent="0.25">
      <c r="A22" s="254" t="s">
        <v>136</v>
      </c>
      <c r="B22" s="254"/>
      <c r="C22" s="254"/>
      <c r="D22" s="254"/>
      <c r="E22" s="254"/>
      <c r="F22" s="254"/>
      <c r="G22" s="254"/>
      <c r="H22" s="254"/>
      <c r="I22" s="254"/>
      <c r="J22" s="254" t="s">
        <v>69</v>
      </c>
      <c r="K22" s="254"/>
      <c r="L22" s="254"/>
      <c r="M22" s="254"/>
      <c r="N22" s="254"/>
      <c r="O22" s="254"/>
      <c r="P22" s="254" t="s">
        <v>74</v>
      </c>
      <c r="Q22" s="254"/>
      <c r="R22" s="254"/>
      <c r="S22" s="254"/>
      <c r="T22" s="254"/>
      <c r="U22" s="254"/>
      <c r="V22" s="254" t="b">
        <f>AND(A22=Berechnungstool!$I$31,J22=Berechnungstool!$I$32,P22=Berechnungstool!$Z$22)</f>
        <v>0</v>
      </c>
      <c r="W22" s="254"/>
      <c r="X22" s="254"/>
      <c r="Y22" s="254"/>
      <c r="Z22" s="254" t="s">
        <v>143</v>
      </c>
      <c r="AA22" s="254"/>
      <c r="AB22" s="254"/>
      <c r="AC22" s="254"/>
    </row>
    <row r="23" spans="1:29" ht="15" customHeight="1" x14ac:dyDescent="0.25">
      <c r="A23" s="254" t="s">
        <v>136</v>
      </c>
      <c r="B23" s="254"/>
      <c r="C23" s="254"/>
      <c r="D23" s="254"/>
      <c r="E23" s="254"/>
      <c r="F23" s="254"/>
      <c r="G23" s="254"/>
      <c r="H23" s="254"/>
      <c r="I23" s="254"/>
      <c r="J23" s="254" t="s">
        <v>69</v>
      </c>
      <c r="K23" s="254"/>
      <c r="L23" s="254"/>
      <c r="M23" s="254"/>
      <c r="N23" s="254"/>
      <c r="O23" s="254"/>
      <c r="P23" s="254" t="s">
        <v>40</v>
      </c>
      <c r="Q23" s="254"/>
      <c r="R23" s="254"/>
      <c r="S23" s="254"/>
      <c r="T23" s="254"/>
      <c r="U23" s="254"/>
      <c r="V23" s="254" t="b">
        <f>AND(A23=Berechnungstool!$I$31,J23=Berechnungstool!$I$32,P23=Berechnungstool!$Z$22)</f>
        <v>0</v>
      </c>
      <c r="W23" s="254"/>
      <c r="X23" s="254"/>
      <c r="Y23" s="254"/>
      <c r="Z23" s="254" t="s">
        <v>143</v>
      </c>
      <c r="AA23" s="254"/>
      <c r="AB23" s="254"/>
      <c r="AC23" s="254"/>
    </row>
    <row r="24" spans="1:29" ht="15" customHeight="1" x14ac:dyDescent="0.25">
      <c r="A24" s="254" t="s">
        <v>136</v>
      </c>
      <c r="B24" s="254"/>
      <c r="C24" s="254"/>
      <c r="D24" s="254"/>
      <c r="E24" s="254"/>
      <c r="F24" s="254"/>
      <c r="G24" s="254"/>
      <c r="H24" s="254"/>
      <c r="I24" s="254"/>
      <c r="J24" s="254" t="s">
        <v>69</v>
      </c>
      <c r="K24" s="254"/>
      <c r="L24" s="254"/>
      <c r="M24" s="254"/>
      <c r="N24" s="254"/>
      <c r="O24" s="254"/>
      <c r="P24" s="254" t="s">
        <v>75</v>
      </c>
      <c r="Q24" s="254"/>
      <c r="R24" s="254"/>
      <c r="S24" s="254"/>
      <c r="T24" s="254"/>
      <c r="U24" s="254"/>
      <c r="V24" s="254" t="b">
        <f>AND(A24=Berechnungstool!$I$31,J24=Berechnungstool!$I$32,P24=Berechnungstool!$Z$22)</f>
        <v>0</v>
      </c>
      <c r="W24" s="254"/>
      <c r="X24" s="254"/>
      <c r="Y24" s="254"/>
      <c r="Z24" s="254" t="s">
        <v>143</v>
      </c>
      <c r="AA24" s="254"/>
      <c r="AB24" s="254"/>
      <c r="AC24" s="254"/>
    </row>
    <row r="25" spans="1:29" ht="15" customHeight="1" x14ac:dyDescent="0.25">
      <c r="A25" s="254" t="s">
        <v>137</v>
      </c>
      <c r="B25" s="254"/>
      <c r="C25" s="254"/>
      <c r="D25" s="254"/>
      <c r="E25" s="254"/>
      <c r="F25" s="254"/>
      <c r="G25" s="254"/>
      <c r="H25" s="254"/>
      <c r="I25" s="254"/>
      <c r="J25" s="254" t="s">
        <v>68</v>
      </c>
      <c r="K25" s="254"/>
      <c r="L25" s="254"/>
      <c r="M25" s="254"/>
      <c r="N25" s="254"/>
      <c r="O25" s="254"/>
      <c r="P25" s="254" t="s">
        <v>74</v>
      </c>
      <c r="Q25" s="254"/>
      <c r="R25" s="254"/>
      <c r="S25" s="254"/>
      <c r="T25" s="254"/>
      <c r="U25" s="254"/>
      <c r="V25" s="254" t="b">
        <f>AND(A25=Berechnungstool!$I$31,J25=Berechnungstool!$I$32,P25=Berechnungstool!$Z$22)</f>
        <v>0</v>
      </c>
      <c r="W25" s="254"/>
      <c r="X25" s="254"/>
      <c r="Y25" s="254"/>
      <c r="Z25" s="254" t="s">
        <v>143</v>
      </c>
      <c r="AA25" s="254"/>
      <c r="AB25" s="254"/>
      <c r="AC25" s="254"/>
    </row>
    <row r="26" spans="1:29" ht="15" customHeight="1" x14ac:dyDescent="0.25">
      <c r="A26" s="254" t="s">
        <v>137</v>
      </c>
      <c r="B26" s="254"/>
      <c r="C26" s="254"/>
      <c r="D26" s="254"/>
      <c r="E26" s="254"/>
      <c r="F26" s="254"/>
      <c r="G26" s="254"/>
      <c r="H26" s="254"/>
      <c r="I26" s="254"/>
      <c r="J26" s="254" t="s">
        <v>68</v>
      </c>
      <c r="K26" s="254"/>
      <c r="L26" s="254"/>
      <c r="M26" s="254"/>
      <c r="N26" s="254"/>
      <c r="O26" s="254"/>
      <c r="P26" s="254" t="s">
        <v>40</v>
      </c>
      <c r="Q26" s="254"/>
      <c r="R26" s="254"/>
      <c r="S26" s="254"/>
      <c r="T26" s="254"/>
      <c r="U26" s="254"/>
      <c r="V26" s="254" t="b">
        <f>AND(A26=Berechnungstool!$I$31,J26=Berechnungstool!$I$32,P26=Berechnungstool!$Z$22)</f>
        <v>0</v>
      </c>
      <c r="W26" s="254"/>
      <c r="X26" s="254"/>
      <c r="Y26" s="254"/>
      <c r="Z26" s="254" t="s">
        <v>143</v>
      </c>
      <c r="AA26" s="254"/>
      <c r="AB26" s="254"/>
      <c r="AC26" s="254"/>
    </row>
    <row r="27" spans="1:29" ht="15" customHeight="1" x14ac:dyDescent="0.25">
      <c r="A27" s="254" t="s">
        <v>137</v>
      </c>
      <c r="B27" s="254"/>
      <c r="C27" s="254"/>
      <c r="D27" s="254"/>
      <c r="E27" s="254"/>
      <c r="F27" s="254"/>
      <c r="G27" s="254"/>
      <c r="H27" s="254"/>
      <c r="I27" s="254"/>
      <c r="J27" s="254" t="s">
        <v>68</v>
      </c>
      <c r="K27" s="254"/>
      <c r="L27" s="254"/>
      <c r="M27" s="254"/>
      <c r="N27" s="254"/>
      <c r="O27" s="254"/>
      <c r="P27" s="254" t="s">
        <v>75</v>
      </c>
      <c r="Q27" s="254"/>
      <c r="R27" s="254"/>
      <c r="S27" s="254"/>
      <c r="T27" s="254"/>
      <c r="U27" s="254"/>
      <c r="V27" s="254" t="b">
        <f>AND(A27=Berechnungstool!$I$31,J27=Berechnungstool!$I$32,P27=Berechnungstool!$Z$22)</f>
        <v>0</v>
      </c>
      <c r="W27" s="254"/>
      <c r="X27" s="254"/>
      <c r="Y27" s="254"/>
      <c r="Z27" s="254" t="s">
        <v>143</v>
      </c>
      <c r="AA27" s="254"/>
      <c r="AB27" s="254"/>
      <c r="AC27" s="254"/>
    </row>
    <row r="28" spans="1:29" ht="15" customHeight="1" x14ac:dyDescent="0.25">
      <c r="A28" s="254" t="s">
        <v>137</v>
      </c>
      <c r="B28" s="254"/>
      <c r="C28" s="254"/>
      <c r="D28" s="254"/>
      <c r="E28" s="254"/>
      <c r="F28" s="254"/>
      <c r="G28" s="254"/>
      <c r="H28" s="254"/>
      <c r="I28" s="254"/>
      <c r="J28" s="254" t="s">
        <v>69</v>
      </c>
      <c r="K28" s="254"/>
      <c r="L28" s="254"/>
      <c r="M28" s="254"/>
      <c r="N28" s="254"/>
      <c r="O28" s="254"/>
      <c r="P28" s="254" t="s">
        <v>74</v>
      </c>
      <c r="Q28" s="254"/>
      <c r="R28" s="254"/>
      <c r="S28" s="254"/>
      <c r="T28" s="254"/>
      <c r="U28" s="254"/>
      <c r="V28" s="254" t="b">
        <f>AND(A28=Berechnungstool!$I$31,J28=Berechnungstool!$I$32,P28=Berechnungstool!$Z$22)</f>
        <v>0</v>
      </c>
      <c r="W28" s="254"/>
      <c r="X28" s="254"/>
      <c r="Y28" s="254"/>
      <c r="Z28" s="254" t="s">
        <v>143</v>
      </c>
      <c r="AA28" s="254"/>
      <c r="AB28" s="254"/>
      <c r="AC28" s="254"/>
    </row>
    <row r="29" spans="1:29" ht="15" customHeight="1" x14ac:dyDescent="0.25">
      <c r="A29" s="254" t="s">
        <v>137</v>
      </c>
      <c r="B29" s="254"/>
      <c r="C29" s="254"/>
      <c r="D29" s="254"/>
      <c r="E29" s="254"/>
      <c r="F29" s="254"/>
      <c r="G29" s="254"/>
      <c r="H29" s="254"/>
      <c r="I29" s="254"/>
      <c r="J29" s="254" t="s">
        <v>69</v>
      </c>
      <c r="K29" s="254"/>
      <c r="L29" s="254"/>
      <c r="M29" s="254"/>
      <c r="N29" s="254"/>
      <c r="O29" s="254"/>
      <c r="P29" s="254" t="s">
        <v>40</v>
      </c>
      <c r="Q29" s="254"/>
      <c r="R29" s="254"/>
      <c r="S29" s="254"/>
      <c r="T29" s="254"/>
      <c r="U29" s="254"/>
      <c r="V29" s="254" t="b">
        <f>AND(A29=Berechnungstool!$I$31,J29=Berechnungstool!$I$32,P29=Berechnungstool!$Z$22)</f>
        <v>0</v>
      </c>
      <c r="W29" s="254"/>
      <c r="X29" s="254"/>
      <c r="Y29" s="254"/>
      <c r="Z29" s="254" t="s">
        <v>143</v>
      </c>
      <c r="AA29" s="254"/>
      <c r="AB29" s="254"/>
      <c r="AC29" s="254"/>
    </row>
    <row r="30" spans="1:29" ht="15" customHeight="1" x14ac:dyDescent="0.25">
      <c r="A30" s="254" t="s">
        <v>137</v>
      </c>
      <c r="B30" s="254"/>
      <c r="C30" s="254"/>
      <c r="D30" s="254"/>
      <c r="E30" s="254"/>
      <c r="F30" s="254"/>
      <c r="G30" s="254"/>
      <c r="H30" s="254"/>
      <c r="I30" s="254"/>
      <c r="J30" s="254" t="s">
        <v>69</v>
      </c>
      <c r="K30" s="254"/>
      <c r="L30" s="254"/>
      <c r="M30" s="254"/>
      <c r="N30" s="254"/>
      <c r="O30" s="254"/>
      <c r="P30" s="254" t="s">
        <v>75</v>
      </c>
      <c r="Q30" s="254"/>
      <c r="R30" s="254"/>
      <c r="S30" s="254"/>
      <c r="T30" s="254"/>
      <c r="U30" s="254"/>
      <c r="V30" s="254" t="b">
        <f>AND(A30=Berechnungstool!$I$31,J30=Berechnungstool!$I$32,P30=Berechnungstool!$Z$22)</f>
        <v>0</v>
      </c>
      <c r="W30" s="254"/>
      <c r="X30" s="254"/>
      <c r="Y30" s="254"/>
      <c r="Z30" s="254" t="s">
        <v>143</v>
      </c>
      <c r="AA30" s="254"/>
      <c r="AB30" s="254"/>
      <c r="AC30" s="254"/>
    </row>
    <row r="31" spans="1:29" ht="15" customHeight="1" x14ac:dyDescent="0.25"/>
    <row r="32" spans="1:29" ht="15" customHeight="1" x14ac:dyDescent="0.25">
      <c r="A32" s="1" t="s">
        <v>142</v>
      </c>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hidden="1" customHeight="1" x14ac:dyDescent="0.25"/>
    <row r="52" ht="15" hidden="1" customHeight="1" x14ac:dyDescent="0.25"/>
  </sheetData>
  <sheetProtection algorithmName="SHA-512" hashValue="b4HkcweNnzMIfdWSxSG4sFRAynZi5hoMbtLQSK0m6d7TgZfadhO7uepHmoHpWBST9fQMgD76+Bg3Luap1hnmjg==" saltValue="hLR4eA95TNh94yDCD75OMg==" spinCount="100000" sheet="1" objects="1" scenarios="1"/>
  <mergeCells count="133">
    <mergeCell ref="N1:S1"/>
    <mergeCell ref="A1:F1"/>
    <mergeCell ref="AA1:AF1"/>
    <mergeCell ref="A5:I5"/>
    <mergeCell ref="J5:O5"/>
    <mergeCell ref="P5:U5"/>
    <mergeCell ref="V5:Y5"/>
    <mergeCell ref="Z5:AC5"/>
    <mergeCell ref="A6:I6"/>
    <mergeCell ref="J6:O6"/>
    <mergeCell ref="P6:U6"/>
    <mergeCell ref="V6:Y6"/>
    <mergeCell ref="Z6:AC6"/>
    <mergeCell ref="A7:I7"/>
    <mergeCell ref="J7:O7"/>
    <mergeCell ref="P7:U7"/>
    <mergeCell ref="V7:Y7"/>
    <mergeCell ref="Z7:AC7"/>
    <mergeCell ref="A8:I8"/>
    <mergeCell ref="J8:O8"/>
    <mergeCell ref="P8:U8"/>
    <mergeCell ref="V8:Y8"/>
    <mergeCell ref="Z8:AC8"/>
    <mergeCell ref="A9:I9"/>
    <mergeCell ref="J9:O9"/>
    <mergeCell ref="P9:U9"/>
    <mergeCell ref="V9:Y9"/>
    <mergeCell ref="Z9:AC9"/>
    <mergeCell ref="A10:I10"/>
    <mergeCell ref="J10:O10"/>
    <mergeCell ref="P10:U10"/>
    <mergeCell ref="V10:Y10"/>
    <mergeCell ref="Z10:AC10"/>
    <mergeCell ref="A11:I11"/>
    <mergeCell ref="J11:O11"/>
    <mergeCell ref="P11:U11"/>
    <mergeCell ref="V11:Y11"/>
    <mergeCell ref="Z11:AC11"/>
    <mergeCell ref="A12:I12"/>
    <mergeCell ref="J12:O12"/>
    <mergeCell ref="P12:U12"/>
    <mergeCell ref="V12:Y12"/>
    <mergeCell ref="Z12:AC12"/>
    <mergeCell ref="A13:I13"/>
    <mergeCell ref="J13:O13"/>
    <mergeCell ref="P13:U13"/>
    <mergeCell ref="V13:Y13"/>
    <mergeCell ref="Z13:AC13"/>
    <mergeCell ref="A14:I14"/>
    <mergeCell ref="J14:O14"/>
    <mergeCell ref="P14:U14"/>
    <mergeCell ref="V14:Y14"/>
    <mergeCell ref="Z14:AC14"/>
    <mergeCell ref="A15:I15"/>
    <mergeCell ref="J15:O15"/>
    <mergeCell ref="P15:U15"/>
    <mergeCell ref="V15:Y15"/>
    <mergeCell ref="Z15:AC15"/>
    <mergeCell ref="A16:I16"/>
    <mergeCell ref="J16:O16"/>
    <mergeCell ref="P16:U16"/>
    <mergeCell ref="V16:Y16"/>
    <mergeCell ref="Z16:AC16"/>
    <mergeCell ref="A17:I17"/>
    <mergeCell ref="J17:O17"/>
    <mergeCell ref="P17:U17"/>
    <mergeCell ref="V17:Y17"/>
    <mergeCell ref="Z17:AC17"/>
    <mergeCell ref="A18:I18"/>
    <mergeCell ref="J18:O18"/>
    <mergeCell ref="P18:U18"/>
    <mergeCell ref="V18:Y18"/>
    <mergeCell ref="Z18:AC18"/>
    <mergeCell ref="A19:I19"/>
    <mergeCell ref="J19:O19"/>
    <mergeCell ref="P19:U19"/>
    <mergeCell ref="V19:Y19"/>
    <mergeCell ref="Z19:AC19"/>
    <mergeCell ref="A20:I20"/>
    <mergeCell ref="J20:O20"/>
    <mergeCell ref="P20:U20"/>
    <mergeCell ref="V20:Y20"/>
    <mergeCell ref="Z20:AC20"/>
    <mergeCell ref="A21:I21"/>
    <mergeCell ref="J21:O21"/>
    <mergeCell ref="P21:U21"/>
    <mergeCell ref="V21:Y21"/>
    <mergeCell ref="Z21:AC21"/>
    <mergeCell ref="A22:I22"/>
    <mergeCell ref="J22:O22"/>
    <mergeCell ref="P22:U22"/>
    <mergeCell ref="V22:Y22"/>
    <mergeCell ref="Z22:AC22"/>
    <mergeCell ref="A23:I23"/>
    <mergeCell ref="J23:O23"/>
    <mergeCell ref="P23:U23"/>
    <mergeCell ref="V23:Y23"/>
    <mergeCell ref="Z23:AC23"/>
    <mergeCell ref="A24:I24"/>
    <mergeCell ref="J24:O24"/>
    <mergeCell ref="P24:U24"/>
    <mergeCell ref="V24:Y24"/>
    <mergeCell ref="Z24:AC24"/>
    <mergeCell ref="A25:I25"/>
    <mergeCell ref="J25:O25"/>
    <mergeCell ref="P25:U25"/>
    <mergeCell ref="V25:Y25"/>
    <mergeCell ref="Z25:AC25"/>
    <mergeCell ref="A26:I26"/>
    <mergeCell ref="J26:O26"/>
    <mergeCell ref="P26:U26"/>
    <mergeCell ref="V26:Y26"/>
    <mergeCell ref="Z26:AC26"/>
    <mergeCell ref="A27:I27"/>
    <mergeCell ref="J27:O27"/>
    <mergeCell ref="P27:U27"/>
    <mergeCell ref="V27:Y27"/>
    <mergeCell ref="Z27:AC27"/>
    <mergeCell ref="A28:I28"/>
    <mergeCell ref="J28:O28"/>
    <mergeCell ref="P28:U28"/>
    <mergeCell ref="V28:Y28"/>
    <mergeCell ref="Z28:AC28"/>
    <mergeCell ref="A29:I29"/>
    <mergeCell ref="J29:O29"/>
    <mergeCell ref="P29:U29"/>
    <mergeCell ref="V29:Y29"/>
    <mergeCell ref="Z29:AC29"/>
    <mergeCell ref="A30:I30"/>
    <mergeCell ref="J30:O30"/>
    <mergeCell ref="P30:U30"/>
    <mergeCell ref="V30:Y30"/>
    <mergeCell ref="Z30:AC30"/>
  </mergeCells>
  <conditionalFormatting sqref="V7:Y30">
    <cfRule type="cellIs" dxfId="14" priority="1" operator="equal">
      <formula>TRUE</formula>
    </cfRule>
  </conditionalFormatting>
  <hyperlinks>
    <hyperlink ref="N1:S1" location="INDEX!A1" display="🏠 INDEX"/>
    <hyperlink ref="A1:F1" location="'6'!A1" display="6 ◀"/>
    <hyperlink ref="AA1:AF1" location="'8'!A1" display="▶ 8"/>
  </hyperlinks>
  <pageMargins left="0.7" right="0.7" top="0.78740157499999996" bottom="0.78740157499999996" header="0.3" footer="0.3"/>
  <pageSetup paperSize="9" orientation="portrait" horizontalDpi="90" verticalDpi="90" r:id="rId1"/>
  <headerFooter>
    <oddHeader>&amp;L&amp;"-,Standard"7 - Zulässigkeit Versickerung</oddHeader>
  </headerFooter>
  <extLst>
    <ext xmlns:x14="http://schemas.microsoft.com/office/spreadsheetml/2009/9/main" uri="{CCE6A557-97BC-4b89-ADB6-D9C93CAAB3DF}">
      <x14:dataValidations xmlns:xm="http://schemas.microsoft.com/office/excel/2006/main" disablePrompts="1" count="4">
        <x14:dataValidation type="list" allowBlank="1" showInputMessage="1" showErrorMessage="1">
          <x14:formula1>
            <xm:f>'1'!$J$17:$J$20</xm:f>
          </x14:formula1>
          <xm:sqref>A7:I30</xm:sqref>
        </x14:dataValidation>
        <x14:dataValidation type="list" allowBlank="1" showInputMessage="1" showErrorMessage="1">
          <x14:formula1>
            <xm:f>'1'!$T$17:$T$18</xm:f>
          </x14:formula1>
          <xm:sqref>J7:O30</xm:sqref>
        </x14:dataValidation>
        <x14:dataValidation type="list" allowBlank="1" showInputMessage="1" showErrorMessage="1">
          <x14:formula1>
            <xm:f>'1'!$G$12:$G$14</xm:f>
          </x14:formula1>
          <xm:sqref>P7:U30</xm:sqref>
        </x14:dataValidation>
        <x14:dataValidation type="list" allowBlank="1" showInputMessage="1" showErrorMessage="1">
          <x14:formula1>
            <xm:f>'1'!$AA$12:$AA$15</xm:f>
          </x14:formula1>
          <xm:sqref>Z7:AC30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F50"/>
  <sheetViews>
    <sheetView view="pageLayout" zoomScaleNormal="100" workbookViewId="0">
      <selection activeCell="AA1" sqref="AA1:AF1"/>
    </sheetView>
  </sheetViews>
  <sheetFormatPr baseColWidth="10" defaultColWidth="0" defaultRowHeight="15" customHeight="1" zeroHeight="1" x14ac:dyDescent="0.25"/>
  <cols>
    <col min="1" max="32" width="2.5" style="1" customWidth="1"/>
    <col min="33" max="16384" width="11" style="1" hidden="1"/>
  </cols>
  <sheetData>
    <row r="1" spans="1:32" ht="15" customHeight="1" x14ac:dyDescent="0.25">
      <c r="A1" s="282" t="s">
        <v>232</v>
      </c>
      <c r="B1" s="282"/>
      <c r="C1" s="282"/>
      <c r="D1" s="282"/>
      <c r="E1" s="282"/>
      <c r="F1" s="282"/>
      <c r="G1" s="2"/>
      <c r="H1" s="2"/>
      <c r="I1" s="2"/>
      <c r="J1" s="2"/>
      <c r="K1" s="2"/>
      <c r="L1" s="2"/>
      <c r="M1" s="2"/>
      <c r="N1" s="282" t="s">
        <v>170</v>
      </c>
      <c r="O1" s="282"/>
      <c r="P1" s="282"/>
      <c r="Q1" s="282"/>
      <c r="R1" s="282"/>
      <c r="S1" s="282"/>
      <c r="T1" s="2"/>
      <c r="U1" s="2"/>
      <c r="V1" s="2"/>
      <c r="W1" s="2"/>
      <c r="X1" s="2"/>
      <c r="Y1" s="2"/>
      <c r="Z1" s="2"/>
      <c r="AA1" s="282" t="s">
        <v>231</v>
      </c>
      <c r="AB1" s="282"/>
      <c r="AC1" s="282"/>
      <c r="AD1" s="282"/>
      <c r="AE1" s="282"/>
      <c r="AF1" s="282"/>
    </row>
    <row r="2" spans="1:32" ht="15" customHeight="1" x14ac:dyDescent="0.25"/>
    <row r="3" spans="1:32" ht="15" customHeight="1" x14ac:dyDescent="0.25">
      <c r="A3" s="1" t="s">
        <v>7</v>
      </c>
      <c r="I3" s="49" t="s">
        <v>80</v>
      </c>
    </row>
    <row r="4" spans="1:32" ht="15" customHeight="1" x14ac:dyDescent="0.25"/>
    <row r="5" spans="1:32" ht="15" customHeight="1" x14ac:dyDescent="0.25">
      <c r="A5" s="304" t="s">
        <v>198</v>
      </c>
      <c r="B5" s="304"/>
      <c r="C5" s="304"/>
      <c r="D5" s="304"/>
      <c r="E5" s="304"/>
      <c r="F5" s="304"/>
      <c r="G5" s="304"/>
      <c r="H5" s="304" t="s">
        <v>12</v>
      </c>
      <c r="I5" s="304"/>
      <c r="J5" s="304"/>
      <c r="K5" s="304"/>
      <c r="L5" s="304" t="s">
        <v>206</v>
      </c>
      <c r="M5" s="304"/>
      <c r="N5" s="304"/>
      <c r="O5" s="304"/>
      <c r="P5" s="304"/>
      <c r="Q5" s="304"/>
      <c r="R5" s="304"/>
      <c r="S5" s="304"/>
      <c r="T5" s="304"/>
      <c r="V5" s="1" t="s">
        <v>207</v>
      </c>
    </row>
    <row r="6" spans="1:32" ht="15" customHeight="1" x14ac:dyDescent="0.25">
      <c r="A6" s="304" t="s">
        <v>199</v>
      </c>
      <c r="B6" s="304"/>
      <c r="C6" s="304"/>
      <c r="D6" s="304"/>
      <c r="E6" s="304"/>
      <c r="F6" s="304"/>
      <c r="G6" s="304"/>
      <c r="H6" s="304" t="s">
        <v>15</v>
      </c>
      <c r="I6" s="304"/>
      <c r="J6" s="304"/>
      <c r="K6" s="304"/>
      <c r="L6" s="304" t="s">
        <v>33</v>
      </c>
      <c r="M6" s="304"/>
      <c r="N6" s="304"/>
      <c r="O6" s="304"/>
      <c r="P6" s="304"/>
      <c r="Q6" s="304"/>
      <c r="R6" s="304"/>
      <c r="S6" s="304"/>
      <c r="T6" s="304"/>
    </row>
    <row r="7" spans="1:32" ht="15" customHeight="1" x14ac:dyDescent="0.25">
      <c r="A7" s="318" t="s">
        <v>204</v>
      </c>
      <c r="B7" s="318"/>
      <c r="C7" s="318"/>
      <c r="D7" s="318"/>
      <c r="E7" s="318"/>
      <c r="F7" s="318"/>
      <c r="G7" s="318"/>
      <c r="H7" s="318" t="s">
        <v>205</v>
      </c>
      <c r="I7" s="318"/>
      <c r="J7" s="318"/>
      <c r="K7" s="318"/>
      <c r="L7" s="319">
        <v>6</v>
      </c>
      <c r="M7" s="319"/>
      <c r="N7" s="319"/>
      <c r="O7" s="319"/>
      <c r="P7" s="319"/>
      <c r="Q7" s="319"/>
      <c r="R7" s="319"/>
      <c r="S7" s="319"/>
      <c r="T7" s="319"/>
    </row>
    <row r="8" spans="1:32" ht="15" customHeight="1" x14ac:dyDescent="0.25">
      <c r="A8" s="254" t="s">
        <v>201</v>
      </c>
      <c r="B8" s="254"/>
      <c r="C8" s="254"/>
      <c r="D8" s="254"/>
      <c r="E8" s="254"/>
      <c r="F8" s="254"/>
      <c r="G8" s="254"/>
      <c r="H8" s="254" t="b">
        <f>AND(Berechnungstool!$I$18&gt;=20000)</f>
        <v>0</v>
      </c>
      <c r="I8" s="254"/>
      <c r="J8" s="254"/>
      <c r="K8" s="254"/>
      <c r="L8" s="313">
        <v>3</v>
      </c>
      <c r="M8" s="313"/>
      <c r="N8" s="313"/>
      <c r="O8" s="313"/>
      <c r="P8" s="313"/>
      <c r="Q8" s="313"/>
      <c r="R8" s="313"/>
      <c r="S8" s="313"/>
      <c r="T8" s="313"/>
    </row>
    <row r="9" spans="1:32" ht="15" customHeight="1" x14ac:dyDescent="0.25">
      <c r="A9" s="254" t="s">
        <v>202</v>
      </c>
      <c r="B9" s="254"/>
      <c r="C9" s="254"/>
      <c r="D9" s="254"/>
      <c r="E9" s="254"/>
      <c r="F9" s="254"/>
      <c r="G9" s="254"/>
      <c r="H9" s="254" t="b">
        <f>AND(Berechnungstool!$I$18&gt;=10000)</f>
        <v>0</v>
      </c>
      <c r="I9" s="254"/>
      <c r="J9" s="254"/>
      <c r="K9" s="254"/>
      <c r="L9" s="313">
        <v>1.5</v>
      </c>
      <c r="M9" s="313"/>
      <c r="N9" s="313"/>
      <c r="O9" s="313"/>
      <c r="P9" s="313"/>
      <c r="Q9" s="313"/>
      <c r="R9" s="313"/>
      <c r="S9" s="313"/>
      <c r="T9" s="313"/>
    </row>
    <row r="10" spans="1:32" ht="15" customHeight="1" x14ac:dyDescent="0.25">
      <c r="A10" s="254" t="s">
        <v>203</v>
      </c>
      <c r="B10" s="254"/>
      <c r="C10" s="254"/>
      <c r="D10" s="254"/>
      <c r="E10" s="254"/>
      <c r="F10" s="254"/>
      <c r="G10" s="254"/>
      <c r="H10" s="254" t="b">
        <f>AND(Berechnungstool!$I$18&gt;=2000)</f>
        <v>0</v>
      </c>
      <c r="I10" s="254"/>
      <c r="J10" s="254"/>
      <c r="K10" s="254"/>
      <c r="L10" s="313">
        <v>1</v>
      </c>
      <c r="M10" s="313"/>
      <c r="N10" s="313"/>
      <c r="O10" s="313"/>
      <c r="P10" s="313"/>
      <c r="Q10" s="313"/>
      <c r="R10" s="313"/>
      <c r="S10" s="313"/>
      <c r="T10" s="313"/>
    </row>
    <row r="11" spans="1:32" ht="15" customHeight="1" x14ac:dyDescent="0.25">
      <c r="A11" s="254" t="s">
        <v>200</v>
      </c>
      <c r="B11" s="254"/>
      <c r="C11" s="254"/>
      <c r="D11" s="254"/>
      <c r="E11" s="254"/>
      <c r="F11" s="254"/>
      <c r="G11" s="254"/>
      <c r="H11" s="254" t="b">
        <f>AND(Berechnungstool!$I$18&lt;2000)</f>
        <v>1</v>
      </c>
      <c r="I11" s="254"/>
      <c r="J11" s="254"/>
      <c r="K11" s="254"/>
      <c r="L11" s="313">
        <v>0</v>
      </c>
      <c r="M11" s="313"/>
      <c r="N11" s="313"/>
      <c r="O11" s="313"/>
      <c r="P11" s="313"/>
      <c r="Q11" s="313"/>
      <c r="R11" s="313"/>
      <c r="S11" s="313"/>
      <c r="T11" s="313"/>
      <c r="U11" s="1" t="s">
        <v>227</v>
      </c>
      <c r="V11" s="1" t="s">
        <v>225</v>
      </c>
    </row>
    <row r="12" spans="1:32" ht="15" customHeight="1" x14ac:dyDescent="0.25">
      <c r="V12" s="1" t="s">
        <v>226</v>
      </c>
    </row>
    <row r="13" spans="1:32" ht="15" customHeight="1" x14ac:dyDescent="0.25"/>
    <row r="14" spans="1:32" ht="15" customHeight="1" x14ac:dyDescent="0.25"/>
    <row r="15" spans="1:32" ht="15" customHeight="1" x14ac:dyDescent="0.25"/>
    <row r="16" spans="1:32"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sheetProtection algorithmName="SHA-512" hashValue="qdx1gDFs6vbrF9yyRX/tCEQynRR6qklsGT8SL+AiDEchNzivJG2bTAaYn+wyjJrzh1w/7AVQSesE+oyNDuZRQw==" saltValue="fp+sypqxBcDR60h26ckskA==" spinCount="100000" sheet="1" objects="1" scenarios="1"/>
  <mergeCells count="24">
    <mergeCell ref="L7:T7"/>
    <mergeCell ref="L8:T8"/>
    <mergeCell ref="L9:T9"/>
    <mergeCell ref="L10:T10"/>
    <mergeCell ref="L11:T11"/>
    <mergeCell ref="A8:G8"/>
    <mergeCell ref="A9:G9"/>
    <mergeCell ref="A10:G10"/>
    <mergeCell ref="A11:G11"/>
    <mergeCell ref="H5:K5"/>
    <mergeCell ref="H6:K6"/>
    <mergeCell ref="H7:K7"/>
    <mergeCell ref="H8:K8"/>
    <mergeCell ref="H9:K9"/>
    <mergeCell ref="H10:K10"/>
    <mergeCell ref="A7:G7"/>
    <mergeCell ref="H11:K11"/>
    <mergeCell ref="A1:F1"/>
    <mergeCell ref="N1:S1"/>
    <mergeCell ref="AA1:AF1"/>
    <mergeCell ref="A5:G5"/>
    <mergeCell ref="A6:G6"/>
    <mergeCell ref="L5:T5"/>
    <mergeCell ref="L6:T6"/>
  </mergeCells>
  <conditionalFormatting sqref="H8:K11">
    <cfRule type="containsText" dxfId="13" priority="1" operator="containsText" text="WAHR">
      <formula>NOT(ISERROR(SEARCH("WAHR",H8)))</formula>
    </cfRule>
  </conditionalFormatting>
  <hyperlinks>
    <hyperlink ref="N1:S1" location="INDEX!A1" display="🏠 INDEX"/>
    <hyperlink ref="AA1:AF1" location="'9'!A1" display="▶ 9"/>
    <hyperlink ref="A1:F1" location="'7'!A1" display="7 ◀"/>
  </hyperlinks>
  <pageMargins left="0.7" right="0.7" top="0.78740157499999996" bottom="0.78740157499999996" header="0.3" footer="0.3"/>
  <pageSetup paperSize="9" orientation="portrait" r:id="rId1"/>
  <headerFooter>
    <oddHeader>&amp;L&amp;"-,Standard"8 - Belastungsstreifen</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F53"/>
  <sheetViews>
    <sheetView view="pageLayout" zoomScaleNormal="100" workbookViewId="0">
      <selection activeCell="AA1" sqref="AA1:AF1"/>
    </sheetView>
  </sheetViews>
  <sheetFormatPr baseColWidth="10" defaultColWidth="0" defaultRowHeight="14.25" zeroHeight="1" x14ac:dyDescent="0.2"/>
  <cols>
    <col min="1" max="32" width="2.375" style="69" customWidth="1"/>
    <col min="33" max="16384" width="2.375" style="69" hidden="1"/>
  </cols>
  <sheetData>
    <row r="1" spans="1:32" s="1" customFormat="1" ht="15" customHeight="1" x14ac:dyDescent="0.25">
      <c r="A1" s="282" t="s">
        <v>183</v>
      </c>
      <c r="B1" s="282"/>
      <c r="C1" s="282"/>
      <c r="D1" s="282"/>
      <c r="E1" s="282"/>
      <c r="F1" s="282"/>
      <c r="G1" s="2"/>
      <c r="H1" s="2"/>
      <c r="I1" s="2"/>
      <c r="J1" s="2"/>
      <c r="K1" s="2"/>
      <c r="L1" s="2"/>
      <c r="M1" s="2"/>
      <c r="N1" s="282" t="s">
        <v>170</v>
      </c>
      <c r="O1" s="282"/>
      <c r="P1" s="282"/>
      <c r="Q1" s="282"/>
      <c r="R1" s="282"/>
      <c r="S1" s="282"/>
      <c r="T1" s="2"/>
      <c r="U1" s="2"/>
      <c r="V1" s="2"/>
      <c r="W1" s="2"/>
      <c r="X1" s="2"/>
      <c r="Y1" s="2"/>
      <c r="Z1" s="2"/>
      <c r="AA1" s="282" t="s">
        <v>233</v>
      </c>
      <c r="AB1" s="282"/>
      <c r="AC1" s="282"/>
      <c r="AD1" s="282"/>
      <c r="AE1" s="282"/>
      <c r="AF1" s="282"/>
    </row>
    <row r="2" spans="1:32" s="1" customFormat="1" ht="15" customHeight="1" x14ac:dyDescent="0.25"/>
    <row r="3" spans="1:32" s="1" customFormat="1" ht="15" customHeight="1" x14ac:dyDescent="0.25">
      <c r="A3" s="1" t="s">
        <v>7</v>
      </c>
      <c r="I3" s="49" t="s">
        <v>80</v>
      </c>
    </row>
    <row r="4" spans="1:32" x14ac:dyDescent="0.2"/>
    <row r="5" spans="1:32" x14ac:dyDescent="0.2">
      <c r="A5" s="316" t="s">
        <v>93</v>
      </c>
      <c r="B5" s="316"/>
      <c r="C5" s="316"/>
      <c r="D5" s="316"/>
      <c r="E5" s="316"/>
      <c r="F5" s="316" t="s">
        <v>220</v>
      </c>
      <c r="G5" s="316"/>
      <c r="H5" s="316"/>
      <c r="I5" s="316"/>
      <c r="J5" s="316" t="s">
        <v>190</v>
      </c>
      <c r="K5" s="316"/>
      <c r="L5" s="316"/>
      <c r="M5" s="316"/>
      <c r="N5" s="316"/>
      <c r="O5" s="316"/>
      <c r="P5" s="316"/>
      <c r="Q5" s="316" t="s">
        <v>221</v>
      </c>
      <c r="R5" s="316"/>
      <c r="S5" s="316"/>
      <c r="T5" s="316"/>
      <c r="U5" s="316" t="s">
        <v>191</v>
      </c>
      <c r="V5" s="316"/>
      <c r="W5" s="316"/>
      <c r="X5" s="316"/>
      <c r="Y5" s="316"/>
    </row>
    <row r="6" spans="1:32" x14ac:dyDescent="0.2">
      <c r="A6" s="316" t="s">
        <v>15</v>
      </c>
      <c r="B6" s="316"/>
      <c r="C6" s="316"/>
      <c r="D6" s="316"/>
      <c r="E6" s="316"/>
      <c r="F6" s="316" t="s">
        <v>33</v>
      </c>
      <c r="G6" s="316"/>
      <c r="H6" s="316"/>
      <c r="I6" s="316"/>
      <c r="J6" s="316" t="s">
        <v>15</v>
      </c>
      <c r="K6" s="316"/>
      <c r="L6" s="316"/>
      <c r="M6" s="316"/>
      <c r="N6" s="316"/>
      <c r="O6" s="316"/>
      <c r="P6" s="316"/>
      <c r="Q6" s="316" t="s">
        <v>15</v>
      </c>
      <c r="R6" s="316"/>
      <c r="S6" s="316"/>
      <c r="T6" s="316"/>
      <c r="U6" s="316" t="s">
        <v>15</v>
      </c>
      <c r="V6" s="316"/>
      <c r="W6" s="316"/>
      <c r="X6" s="316"/>
      <c r="Y6" s="316"/>
    </row>
    <row r="7" spans="1:32" x14ac:dyDescent="0.2">
      <c r="A7" s="315" t="s">
        <v>143</v>
      </c>
      <c r="B7" s="315"/>
      <c r="C7" s="315"/>
      <c r="D7" s="315"/>
      <c r="E7" s="315"/>
      <c r="F7" s="315" t="s">
        <v>116</v>
      </c>
      <c r="G7" s="315"/>
      <c r="H7" s="315"/>
      <c r="I7" s="315"/>
      <c r="J7" s="315" t="s">
        <v>116</v>
      </c>
      <c r="K7" s="315"/>
      <c r="L7" s="315"/>
      <c r="M7" s="315"/>
      <c r="N7" s="315"/>
      <c r="O7" s="315"/>
      <c r="P7" s="315"/>
      <c r="Q7" s="315" t="b">
        <f>AND(A7=Berechnungstool!$I$39)</f>
        <v>0</v>
      </c>
      <c r="R7" s="315"/>
      <c r="S7" s="315"/>
      <c r="T7" s="315"/>
      <c r="U7" s="315" t="s">
        <v>222</v>
      </c>
      <c r="V7" s="315"/>
      <c r="W7" s="315"/>
      <c r="X7" s="315"/>
      <c r="Y7" s="315"/>
    </row>
    <row r="8" spans="1:32" x14ac:dyDescent="0.2">
      <c r="A8" s="315" t="s">
        <v>116</v>
      </c>
      <c r="B8" s="315"/>
      <c r="C8" s="315"/>
      <c r="D8" s="315"/>
      <c r="E8" s="315"/>
      <c r="F8" s="315" t="s">
        <v>108</v>
      </c>
      <c r="G8" s="315"/>
      <c r="H8" s="315"/>
      <c r="I8" s="315"/>
      <c r="J8" s="315" t="s">
        <v>116</v>
      </c>
      <c r="K8" s="315"/>
      <c r="L8" s="315"/>
      <c r="M8" s="315"/>
      <c r="N8" s="315"/>
      <c r="O8" s="315"/>
      <c r="P8" s="315"/>
      <c r="Q8" s="315" t="b">
        <f>AND(F8=Berechnungstool!$I$36)</f>
        <v>0</v>
      </c>
      <c r="R8" s="315"/>
      <c r="S8" s="315"/>
      <c r="T8" s="315"/>
      <c r="U8" s="315" t="s">
        <v>222</v>
      </c>
      <c r="V8" s="315"/>
      <c r="W8" s="315"/>
      <c r="X8" s="315"/>
      <c r="Y8" s="315"/>
    </row>
    <row r="9" spans="1:32" x14ac:dyDescent="0.2">
      <c r="A9" s="315" t="s">
        <v>116</v>
      </c>
      <c r="B9" s="315"/>
      <c r="C9" s="315"/>
      <c r="D9" s="315"/>
      <c r="E9" s="315"/>
      <c r="F9" s="315" t="s">
        <v>116</v>
      </c>
      <c r="G9" s="315"/>
      <c r="H9" s="315"/>
      <c r="I9" s="315"/>
      <c r="J9" s="315" t="s">
        <v>94</v>
      </c>
      <c r="K9" s="315"/>
      <c r="L9" s="315"/>
      <c r="M9" s="315"/>
      <c r="N9" s="315"/>
      <c r="O9" s="315"/>
      <c r="P9" s="315"/>
      <c r="Q9" s="315" t="b">
        <f>AND(J9=Berechnungstool!$I$37)</f>
        <v>0</v>
      </c>
      <c r="R9" s="315"/>
      <c r="S9" s="315"/>
      <c r="T9" s="315"/>
      <c r="U9" s="315" t="s">
        <v>222</v>
      </c>
      <c r="V9" s="315"/>
      <c r="W9" s="315"/>
      <c r="X9" s="315"/>
      <c r="Y9" s="315"/>
    </row>
    <row r="10" spans="1:32" x14ac:dyDescent="0.2">
      <c r="A10" s="315" t="s">
        <v>94</v>
      </c>
      <c r="B10" s="315"/>
      <c r="C10" s="315"/>
      <c r="D10" s="315"/>
      <c r="E10" s="315"/>
      <c r="F10" s="315" t="s">
        <v>109</v>
      </c>
      <c r="G10" s="315"/>
      <c r="H10" s="315"/>
      <c r="I10" s="315"/>
      <c r="J10" s="315" t="s">
        <v>74</v>
      </c>
      <c r="K10" s="315"/>
      <c r="L10" s="315"/>
      <c r="M10" s="315"/>
      <c r="N10" s="315"/>
      <c r="O10" s="315"/>
      <c r="P10" s="315"/>
      <c r="Q10" s="315" t="b">
        <f>AND(A10=Berechnungstool!$I$39,F10=Berechnungstool!$I$36,J10=Berechnungstool!$I$37)</f>
        <v>0</v>
      </c>
      <c r="R10" s="315"/>
      <c r="S10" s="315"/>
      <c r="T10" s="315"/>
      <c r="U10" s="315" t="s">
        <v>223</v>
      </c>
      <c r="V10" s="315"/>
      <c r="W10" s="315"/>
      <c r="X10" s="315"/>
      <c r="Y10" s="315"/>
    </row>
    <row r="11" spans="1:32" x14ac:dyDescent="0.2">
      <c r="A11" s="315" t="s">
        <v>94</v>
      </c>
      <c r="B11" s="315"/>
      <c r="C11" s="315"/>
      <c r="D11" s="315"/>
      <c r="E11" s="315"/>
      <c r="F11" s="315" t="s">
        <v>109</v>
      </c>
      <c r="G11" s="315"/>
      <c r="H11" s="315"/>
      <c r="I11" s="315"/>
      <c r="J11" s="315" t="s">
        <v>40</v>
      </c>
      <c r="K11" s="315"/>
      <c r="L11" s="315"/>
      <c r="M11" s="315"/>
      <c r="N11" s="315"/>
      <c r="O11" s="315"/>
      <c r="P11" s="315"/>
      <c r="Q11" s="315" t="b">
        <f>AND(A11=Berechnungstool!$I$39,F11=Berechnungstool!$I$36,J11=Berechnungstool!$I$37)</f>
        <v>0</v>
      </c>
      <c r="R11" s="315"/>
      <c r="S11" s="315"/>
      <c r="T11" s="315"/>
      <c r="U11" s="315" t="s">
        <v>223</v>
      </c>
      <c r="V11" s="315"/>
      <c r="W11" s="315"/>
      <c r="X11" s="315"/>
      <c r="Y11" s="315"/>
    </row>
    <row r="12" spans="1:32" x14ac:dyDescent="0.2">
      <c r="A12" s="315" t="s">
        <v>94</v>
      </c>
      <c r="B12" s="315"/>
      <c r="C12" s="315"/>
      <c r="D12" s="315"/>
      <c r="E12" s="315"/>
      <c r="F12" s="315" t="s">
        <v>109</v>
      </c>
      <c r="G12" s="315"/>
      <c r="H12" s="315"/>
      <c r="I12" s="315"/>
      <c r="J12" s="315" t="s">
        <v>75</v>
      </c>
      <c r="K12" s="315"/>
      <c r="L12" s="315"/>
      <c r="M12" s="315"/>
      <c r="N12" s="315"/>
      <c r="O12" s="315"/>
      <c r="P12" s="315"/>
      <c r="Q12" s="315" t="b">
        <f>AND(A12=Berechnungstool!$I$39,F12=Berechnungstool!$I$36,J12=Berechnungstool!$I$37)</f>
        <v>0</v>
      </c>
      <c r="R12" s="315"/>
      <c r="S12" s="315"/>
      <c r="T12" s="315"/>
      <c r="U12" s="315" t="s">
        <v>223</v>
      </c>
      <c r="V12" s="315"/>
      <c r="W12" s="315"/>
      <c r="X12" s="315"/>
      <c r="Y12" s="315"/>
    </row>
    <row r="13" spans="1:32" x14ac:dyDescent="0.2">
      <c r="A13" s="315" t="s">
        <v>95</v>
      </c>
      <c r="B13" s="315"/>
      <c r="C13" s="315"/>
      <c r="D13" s="315"/>
      <c r="E13" s="315"/>
      <c r="F13" s="315" t="s">
        <v>109</v>
      </c>
      <c r="G13" s="315"/>
      <c r="H13" s="315"/>
      <c r="I13" s="315"/>
      <c r="J13" s="315" t="s">
        <v>74</v>
      </c>
      <c r="K13" s="315"/>
      <c r="L13" s="315"/>
      <c r="M13" s="315"/>
      <c r="N13" s="315"/>
      <c r="O13" s="315"/>
      <c r="P13" s="315"/>
      <c r="Q13" s="315" t="b">
        <f>AND(A13=Berechnungstool!$I$39,F13=Berechnungstool!$I$36,J13=Berechnungstool!$I$37)</f>
        <v>0</v>
      </c>
      <c r="R13" s="315"/>
      <c r="S13" s="315"/>
      <c r="T13" s="315"/>
      <c r="U13" s="315" t="s">
        <v>223</v>
      </c>
      <c r="V13" s="315"/>
      <c r="W13" s="315"/>
      <c r="X13" s="315"/>
      <c r="Y13" s="315"/>
    </row>
    <row r="14" spans="1:32" x14ac:dyDescent="0.2">
      <c r="A14" s="315" t="s">
        <v>95</v>
      </c>
      <c r="B14" s="315"/>
      <c r="C14" s="315"/>
      <c r="D14" s="315"/>
      <c r="E14" s="315"/>
      <c r="F14" s="315" t="s">
        <v>109</v>
      </c>
      <c r="G14" s="315"/>
      <c r="H14" s="315"/>
      <c r="I14" s="315"/>
      <c r="J14" s="315" t="s">
        <v>40</v>
      </c>
      <c r="K14" s="315"/>
      <c r="L14" s="315"/>
      <c r="M14" s="315"/>
      <c r="N14" s="315"/>
      <c r="O14" s="315"/>
      <c r="P14" s="315"/>
      <c r="Q14" s="315" t="b">
        <f>AND(A14=Berechnungstool!$I$39,F14=Berechnungstool!$I$36,J14=Berechnungstool!$I$37)</f>
        <v>0</v>
      </c>
      <c r="R14" s="315"/>
      <c r="S14" s="315"/>
      <c r="T14" s="315"/>
      <c r="U14" s="315" t="s">
        <v>223</v>
      </c>
      <c r="V14" s="315"/>
      <c r="W14" s="315"/>
      <c r="X14" s="315"/>
      <c r="Y14" s="315"/>
    </row>
    <row r="15" spans="1:32" x14ac:dyDescent="0.2">
      <c r="A15" s="315" t="s">
        <v>95</v>
      </c>
      <c r="B15" s="315"/>
      <c r="C15" s="315"/>
      <c r="D15" s="315"/>
      <c r="E15" s="315"/>
      <c r="F15" s="315" t="s">
        <v>109</v>
      </c>
      <c r="G15" s="315"/>
      <c r="H15" s="315"/>
      <c r="I15" s="315"/>
      <c r="J15" s="315" t="s">
        <v>75</v>
      </c>
      <c r="K15" s="315"/>
      <c r="L15" s="315"/>
      <c r="M15" s="315"/>
      <c r="N15" s="315"/>
      <c r="O15" s="315"/>
      <c r="P15" s="315"/>
      <c r="Q15" s="315" t="b">
        <f>AND(A15=Berechnungstool!$I$39,F15=Berechnungstool!$I$36,J15=Berechnungstool!$I$37)</f>
        <v>0</v>
      </c>
      <c r="R15" s="315"/>
      <c r="S15" s="315"/>
      <c r="T15" s="315"/>
      <c r="U15" s="315" t="s">
        <v>223</v>
      </c>
      <c r="V15" s="315"/>
      <c r="W15" s="315"/>
      <c r="X15" s="315"/>
      <c r="Y15" s="315"/>
    </row>
    <row r="16" spans="1:32" x14ac:dyDescent="0.2">
      <c r="A16" s="315" t="s">
        <v>96</v>
      </c>
      <c r="B16" s="315"/>
      <c r="C16" s="315"/>
      <c r="D16" s="315"/>
      <c r="E16" s="315"/>
      <c r="F16" s="315" t="s">
        <v>109</v>
      </c>
      <c r="G16" s="315"/>
      <c r="H16" s="315"/>
      <c r="I16" s="315"/>
      <c r="J16" s="315" t="s">
        <v>74</v>
      </c>
      <c r="K16" s="315"/>
      <c r="L16" s="315"/>
      <c r="M16" s="315"/>
      <c r="N16" s="315"/>
      <c r="O16" s="315"/>
      <c r="P16" s="315"/>
      <c r="Q16" s="315" t="b">
        <f>AND(A16=Berechnungstool!$I$39,F16=Berechnungstool!$I$36,J16=Berechnungstool!$I$37)</f>
        <v>0</v>
      </c>
      <c r="R16" s="315"/>
      <c r="S16" s="315"/>
      <c r="T16" s="315"/>
      <c r="U16" s="315" t="s">
        <v>223</v>
      </c>
      <c r="V16" s="315"/>
      <c r="W16" s="315"/>
      <c r="X16" s="315"/>
      <c r="Y16" s="315"/>
    </row>
    <row r="17" spans="1:25" x14ac:dyDescent="0.2">
      <c r="A17" s="315" t="s">
        <v>96</v>
      </c>
      <c r="B17" s="315"/>
      <c r="C17" s="315"/>
      <c r="D17" s="315"/>
      <c r="E17" s="315"/>
      <c r="F17" s="315" t="s">
        <v>109</v>
      </c>
      <c r="G17" s="315"/>
      <c r="H17" s="315"/>
      <c r="I17" s="315"/>
      <c r="J17" s="315" t="s">
        <v>40</v>
      </c>
      <c r="K17" s="315"/>
      <c r="L17" s="315"/>
      <c r="M17" s="315"/>
      <c r="N17" s="315"/>
      <c r="O17" s="315"/>
      <c r="P17" s="315"/>
      <c r="Q17" s="315" t="b">
        <f>AND(A17=Berechnungstool!$I$39,F17=Berechnungstool!$I$36,J17=Berechnungstool!$I$37)</f>
        <v>0</v>
      </c>
      <c r="R17" s="315"/>
      <c r="S17" s="315"/>
      <c r="T17" s="315"/>
      <c r="U17" s="315" t="s">
        <v>223</v>
      </c>
      <c r="V17" s="315"/>
      <c r="W17" s="315"/>
      <c r="X17" s="315"/>
      <c r="Y17" s="315"/>
    </row>
    <row r="18" spans="1:25" x14ac:dyDescent="0.2">
      <c r="A18" s="315" t="s">
        <v>96</v>
      </c>
      <c r="B18" s="315"/>
      <c r="C18" s="315"/>
      <c r="D18" s="315"/>
      <c r="E18" s="315"/>
      <c r="F18" s="315" t="s">
        <v>109</v>
      </c>
      <c r="G18" s="315"/>
      <c r="H18" s="315"/>
      <c r="I18" s="315"/>
      <c r="J18" s="315" t="s">
        <v>75</v>
      </c>
      <c r="K18" s="315"/>
      <c r="L18" s="315"/>
      <c r="M18" s="315"/>
      <c r="N18" s="315"/>
      <c r="O18" s="315"/>
      <c r="P18" s="315"/>
      <c r="Q18" s="315" t="b">
        <f>AND(A18=Berechnungstool!$I$39,F18=Berechnungstool!$I$36,J18=Berechnungstool!$I$37)</f>
        <v>0</v>
      </c>
      <c r="R18" s="315"/>
      <c r="S18" s="315"/>
      <c r="T18" s="315"/>
      <c r="U18" s="315" t="s">
        <v>223</v>
      </c>
      <c r="V18" s="315"/>
      <c r="W18" s="315"/>
      <c r="X18" s="315"/>
      <c r="Y18" s="315"/>
    </row>
    <row r="19" spans="1:25" x14ac:dyDescent="0.2"/>
    <row r="20" spans="1:25" x14ac:dyDescent="0.2">
      <c r="A20" s="69" t="s">
        <v>224</v>
      </c>
    </row>
    <row r="21" spans="1:25" x14ac:dyDescent="0.2"/>
    <row r="22" spans="1:25" x14ac:dyDescent="0.2"/>
    <row r="23" spans="1:25" x14ac:dyDescent="0.2"/>
    <row r="24" spans="1:25" x14ac:dyDescent="0.2"/>
    <row r="25" spans="1:25" x14ac:dyDescent="0.2"/>
    <row r="26" spans="1:25" x14ac:dyDescent="0.2"/>
    <row r="27" spans="1:25" x14ac:dyDescent="0.2"/>
    <row r="28" spans="1:25" x14ac:dyDescent="0.2"/>
    <row r="29" spans="1:25" x14ac:dyDescent="0.2"/>
    <row r="30" spans="1:25" x14ac:dyDescent="0.2"/>
    <row r="31" spans="1:25" x14ac:dyDescent="0.2"/>
    <row r="32" spans="1:25"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sheetData>
  <sheetProtection algorithmName="SHA-512" hashValue="wnBs5La2brEvL63NcfvCM5jRFH3fpIj3rSC5DuMloRPyWnBk+92RL0OCztILDTkWatBbjIObDR5WgxhsM8Ylrg==" saltValue="4EeKORlGSFHGAgO99W3WMQ==" spinCount="100000" sheet="1" objects="1" scenarios="1"/>
  <mergeCells count="73">
    <mergeCell ref="A1:F1"/>
    <mergeCell ref="N1:S1"/>
    <mergeCell ref="AA1:AF1"/>
    <mergeCell ref="A5:E5"/>
    <mergeCell ref="F5:I5"/>
    <mergeCell ref="J5:P5"/>
    <mergeCell ref="Q5:T5"/>
    <mergeCell ref="U5:Y5"/>
    <mergeCell ref="A8:E8"/>
    <mergeCell ref="F8:I8"/>
    <mergeCell ref="J8:P8"/>
    <mergeCell ref="Q8:T8"/>
    <mergeCell ref="U8:Y8"/>
    <mergeCell ref="A6:E6"/>
    <mergeCell ref="F6:I6"/>
    <mergeCell ref="J6:P6"/>
    <mergeCell ref="Q6:T6"/>
    <mergeCell ref="U6:Y6"/>
    <mergeCell ref="A9:E9"/>
    <mergeCell ref="F9:I9"/>
    <mergeCell ref="J9:P9"/>
    <mergeCell ref="Q9:T9"/>
    <mergeCell ref="U9:Y9"/>
    <mergeCell ref="A11:E11"/>
    <mergeCell ref="F11:I11"/>
    <mergeCell ref="J11:P11"/>
    <mergeCell ref="Q11:T11"/>
    <mergeCell ref="U11:Y11"/>
    <mergeCell ref="A10:E10"/>
    <mergeCell ref="F10:I10"/>
    <mergeCell ref="J10:P10"/>
    <mergeCell ref="Q10:T10"/>
    <mergeCell ref="U10:Y10"/>
    <mergeCell ref="U12:Y12"/>
    <mergeCell ref="A12:E12"/>
    <mergeCell ref="F12:I12"/>
    <mergeCell ref="J12:P12"/>
    <mergeCell ref="Q12:T12"/>
    <mergeCell ref="A14:E14"/>
    <mergeCell ref="F14:I14"/>
    <mergeCell ref="J14:P14"/>
    <mergeCell ref="Q14:T14"/>
    <mergeCell ref="U14:Y14"/>
    <mergeCell ref="A13:E13"/>
    <mergeCell ref="F13:I13"/>
    <mergeCell ref="J13:P13"/>
    <mergeCell ref="Q13:T13"/>
    <mergeCell ref="U13:Y13"/>
    <mergeCell ref="A15:E15"/>
    <mergeCell ref="F15:I15"/>
    <mergeCell ref="J15:P15"/>
    <mergeCell ref="Q15:T15"/>
    <mergeCell ref="U15:Y15"/>
    <mergeCell ref="A17:E17"/>
    <mergeCell ref="F17:I17"/>
    <mergeCell ref="J17:P17"/>
    <mergeCell ref="Q17:T17"/>
    <mergeCell ref="U17:Y17"/>
    <mergeCell ref="A16:E16"/>
    <mergeCell ref="F16:I16"/>
    <mergeCell ref="J16:P16"/>
    <mergeCell ref="Q16:T16"/>
    <mergeCell ref="U16:Y16"/>
    <mergeCell ref="A7:E7"/>
    <mergeCell ref="F7:I7"/>
    <mergeCell ref="J7:P7"/>
    <mergeCell ref="Q7:T7"/>
    <mergeCell ref="U7:Y7"/>
    <mergeCell ref="A18:E18"/>
    <mergeCell ref="F18:I18"/>
    <mergeCell ref="J18:P18"/>
    <mergeCell ref="Q18:T18"/>
    <mergeCell ref="U18:Y18"/>
  </mergeCells>
  <conditionalFormatting sqref="Q7:T18">
    <cfRule type="containsText" dxfId="12" priority="1" operator="containsText" text="WAHR">
      <formula>NOT(ISERROR(SEARCH("WAHR",Q7)))</formula>
    </cfRule>
  </conditionalFormatting>
  <hyperlinks>
    <hyperlink ref="N1:S1" location="INDEX!A1" display="🏠 INDEX"/>
    <hyperlink ref="AA1:AF1" location="'10'!A1" display="▶ 10"/>
    <hyperlink ref="A1:F1" location="'8'!A1" display="8 ◀"/>
  </hyperlinks>
  <pageMargins left="0.7" right="0.7" top="0.78740157499999996" bottom="0.78740157499999996" header="0.3" footer="0.3"/>
  <pageSetup paperSize="9" orientation="portrait" horizontalDpi="90" verticalDpi="90" r:id="rId1"/>
  <headerFooter>
    <oddHeader>&amp;L&amp;"-,Standard"9 - Machbarkeit zentrale Versickerung</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14:formula1>
            <xm:f>'1'!$AA$12:$AA$15</xm:f>
          </x14:formula1>
          <xm:sqref>A7:E7 A10:E18</xm:sqref>
        </x14:dataValidation>
        <x14:dataValidation type="list" allowBlank="1" showInputMessage="1" showErrorMessage="1">
          <x14:formula1>
            <xm:f>'1'!$X$23:$X$26</xm:f>
          </x14:formula1>
          <xm:sqref>J9:P18</xm:sqref>
        </x14:dataValidation>
        <x14:dataValidation type="list" allowBlank="1" showInputMessage="1" showErrorMessage="1">
          <x14:formula1>
            <xm:f>'1'!$S$23:$S$24</xm:f>
          </x14:formula1>
          <xm:sqref>F8:I8 F10:I18</xm:sqref>
        </x14:dataValidation>
        <x14:dataValidation type="list" allowBlank="1" showInputMessage="1" showErrorMessage="1">
          <x14:formula1>
            <xm:f>'1'!$A$30:$A$31</xm:f>
          </x14:formula1>
          <xm:sqref>U7:Y18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F55"/>
  <sheetViews>
    <sheetView view="pageLayout" zoomScaleNormal="100" workbookViewId="0">
      <selection activeCell="AA1" sqref="AA1:AF1"/>
    </sheetView>
  </sheetViews>
  <sheetFormatPr baseColWidth="10" defaultColWidth="0" defaultRowHeight="15" zeroHeight="1" x14ac:dyDescent="0.25"/>
  <cols>
    <col min="1" max="32" width="2.375" style="1" customWidth="1"/>
    <col min="33" max="16384" width="2.375" style="1" hidden="1"/>
  </cols>
  <sheetData>
    <row r="1" spans="1:32" ht="15" customHeight="1" x14ac:dyDescent="0.25">
      <c r="A1" s="282" t="s">
        <v>234</v>
      </c>
      <c r="B1" s="282"/>
      <c r="C1" s="282"/>
      <c r="D1" s="282"/>
      <c r="E1" s="282"/>
      <c r="F1" s="282"/>
      <c r="G1" s="2"/>
      <c r="H1" s="2"/>
      <c r="I1" s="2"/>
      <c r="J1" s="2"/>
      <c r="K1" s="2"/>
      <c r="L1" s="2"/>
      <c r="M1" s="2"/>
      <c r="N1" s="282" t="s">
        <v>170</v>
      </c>
      <c r="O1" s="282"/>
      <c r="P1" s="282"/>
      <c r="Q1" s="282"/>
      <c r="R1" s="282"/>
      <c r="S1" s="282"/>
      <c r="T1" s="2"/>
      <c r="U1" s="2"/>
      <c r="V1" s="2"/>
      <c r="W1" s="2"/>
      <c r="X1" s="2"/>
      <c r="Y1" s="2"/>
      <c r="Z1" s="2"/>
      <c r="AA1" s="282" t="s">
        <v>240</v>
      </c>
      <c r="AB1" s="282"/>
      <c r="AC1" s="282"/>
      <c r="AD1" s="282"/>
      <c r="AE1" s="282"/>
      <c r="AF1" s="282"/>
    </row>
    <row r="2" spans="1:32" ht="15" customHeight="1" x14ac:dyDescent="0.25"/>
    <row r="3" spans="1:32" ht="15" customHeight="1" x14ac:dyDescent="0.25">
      <c r="A3" s="1" t="s">
        <v>7</v>
      </c>
      <c r="I3" s="49" t="s">
        <v>212</v>
      </c>
    </row>
    <row r="4" spans="1:32" ht="15" customHeight="1" x14ac:dyDescent="0.25">
      <c r="A4" s="1" t="s">
        <v>46</v>
      </c>
      <c r="I4" s="1" t="s">
        <v>218</v>
      </c>
    </row>
    <row r="5" spans="1:32" ht="15" customHeight="1" x14ac:dyDescent="0.25">
      <c r="I5" s="1" t="s">
        <v>219</v>
      </c>
    </row>
    <row r="6" spans="1:32" ht="15" customHeight="1" x14ac:dyDescent="0.25"/>
    <row r="7" spans="1:32" ht="15" customHeight="1" x14ac:dyDescent="0.25">
      <c r="A7" s="306" t="s">
        <v>213</v>
      </c>
      <c r="B7" s="306"/>
      <c r="C7" s="306"/>
      <c r="D7" s="306"/>
      <c r="E7" s="306"/>
      <c r="F7" s="306"/>
      <c r="G7" s="304" t="s">
        <v>12</v>
      </c>
      <c r="H7" s="304"/>
      <c r="I7" s="304"/>
      <c r="J7" s="304"/>
      <c r="K7" s="304" t="s">
        <v>214</v>
      </c>
      <c r="L7" s="304"/>
      <c r="M7" s="304"/>
      <c r="N7" s="304"/>
      <c r="O7" s="13"/>
      <c r="P7" s="14"/>
      <c r="Q7" s="14"/>
      <c r="R7" s="14"/>
      <c r="S7" s="14"/>
      <c r="T7" s="14"/>
      <c r="U7" s="14"/>
      <c r="V7" s="14"/>
    </row>
    <row r="8" spans="1:32" ht="15" customHeight="1" x14ac:dyDescent="0.25">
      <c r="A8" s="299" t="s">
        <v>15</v>
      </c>
      <c r="B8" s="300"/>
      <c r="C8" s="300"/>
      <c r="D8" s="300"/>
      <c r="E8" s="300"/>
      <c r="F8" s="303"/>
      <c r="G8" s="304" t="s">
        <v>15</v>
      </c>
      <c r="H8" s="304"/>
      <c r="I8" s="304"/>
      <c r="J8" s="304"/>
      <c r="K8" s="304" t="s">
        <v>215</v>
      </c>
      <c r="L8" s="304"/>
      <c r="M8" s="304"/>
      <c r="N8" s="304"/>
      <c r="O8" s="13"/>
      <c r="P8" s="14"/>
      <c r="Q8" s="14"/>
      <c r="R8" s="14"/>
      <c r="S8" s="14"/>
      <c r="T8" s="14"/>
      <c r="U8" s="14"/>
      <c r="V8" s="14"/>
    </row>
    <row r="9" spans="1:32" ht="15" customHeight="1" x14ac:dyDescent="0.25">
      <c r="A9" s="209" t="s">
        <v>94</v>
      </c>
      <c r="B9" s="209"/>
      <c r="C9" s="209"/>
      <c r="D9" s="209"/>
      <c r="E9" s="209"/>
      <c r="F9" s="209"/>
      <c r="G9" s="254" t="b">
        <f>IF(A9=Berechnungstool!$I$37,TRUE,FALSE)</f>
        <v>0</v>
      </c>
      <c r="H9" s="254"/>
      <c r="I9" s="254"/>
      <c r="J9" s="254"/>
      <c r="K9" s="313">
        <v>0</v>
      </c>
      <c r="L9" s="313"/>
      <c r="M9" s="313"/>
      <c r="N9" s="313"/>
      <c r="O9" s="66"/>
      <c r="P9" s="67"/>
      <c r="Q9" s="67"/>
      <c r="R9" s="67"/>
      <c r="S9" s="67"/>
      <c r="T9" s="67"/>
      <c r="U9" s="67"/>
      <c r="V9" s="67"/>
    </row>
    <row r="10" spans="1:32" ht="15" customHeight="1" x14ac:dyDescent="0.25">
      <c r="A10" s="209" t="s">
        <v>74</v>
      </c>
      <c r="B10" s="209"/>
      <c r="C10" s="209"/>
      <c r="D10" s="209"/>
      <c r="E10" s="209"/>
      <c r="F10" s="209"/>
      <c r="G10" s="254" t="b">
        <f>IF(A10=Berechnungstool!$I$37,TRUE,FALSE)</f>
        <v>0</v>
      </c>
      <c r="H10" s="254"/>
      <c r="I10" s="254"/>
      <c r="J10" s="254"/>
      <c r="K10" s="313">
        <v>0.5</v>
      </c>
      <c r="L10" s="313"/>
      <c r="M10" s="313"/>
      <c r="N10" s="313"/>
      <c r="O10" s="66"/>
      <c r="P10" s="67"/>
      <c r="Q10" s="67"/>
      <c r="R10" s="67"/>
      <c r="S10" s="67"/>
      <c r="T10" s="67"/>
      <c r="U10" s="67"/>
      <c r="V10" s="67"/>
    </row>
    <row r="11" spans="1:32" ht="15" customHeight="1" x14ac:dyDescent="0.25">
      <c r="A11" s="209" t="s">
        <v>40</v>
      </c>
      <c r="B11" s="209"/>
      <c r="C11" s="209"/>
      <c r="D11" s="209"/>
      <c r="E11" s="209"/>
      <c r="F11" s="209"/>
      <c r="G11" s="254" t="b">
        <f>IF(A11=Berechnungstool!$I$37,TRUE,FALSE)</f>
        <v>0</v>
      </c>
      <c r="H11" s="254"/>
      <c r="I11" s="254"/>
      <c r="J11" s="254"/>
      <c r="K11" s="313">
        <v>1</v>
      </c>
      <c r="L11" s="313"/>
      <c r="M11" s="313"/>
      <c r="N11" s="313"/>
      <c r="O11" s="66"/>
      <c r="P11" s="67"/>
      <c r="Q11" s="67"/>
      <c r="R11" s="67"/>
      <c r="S11" s="67"/>
      <c r="T11" s="67"/>
      <c r="U11" s="67"/>
      <c r="V11" s="67"/>
    </row>
    <row r="12" spans="1:32" ht="15" customHeight="1" x14ac:dyDescent="0.25">
      <c r="A12" s="209" t="s">
        <v>75</v>
      </c>
      <c r="B12" s="209"/>
      <c r="C12" s="209"/>
      <c r="D12" s="209"/>
      <c r="E12" s="209"/>
      <c r="F12" s="209"/>
      <c r="G12" s="254" t="b">
        <f>IF(A12=Berechnungstool!$I$37,TRUE,FALSE)</f>
        <v>0</v>
      </c>
      <c r="H12" s="254"/>
      <c r="I12" s="254"/>
      <c r="J12" s="254"/>
      <c r="K12" s="313">
        <v>2</v>
      </c>
      <c r="L12" s="313"/>
      <c r="M12" s="313"/>
      <c r="N12" s="313"/>
      <c r="O12" s="66"/>
      <c r="P12" s="67"/>
      <c r="Q12" s="67"/>
      <c r="R12" s="67"/>
      <c r="S12" s="67"/>
      <c r="T12" s="67"/>
      <c r="U12" s="67"/>
      <c r="V12" s="67"/>
    </row>
    <row r="13" spans="1:32" ht="15" customHeight="1" x14ac:dyDescent="0.25"/>
    <row r="14" spans="1:32" ht="15" customHeight="1" x14ac:dyDescent="0.25"/>
    <row r="15" spans="1:32" ht="15" customHeight="1" x14ac:dyDescent="0.25"/>
    <row r="16" spans="1:32"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hidden="1" customHeight="1" x14ac:dyDescent="0.25"/>
    <row r="52" ht="15" hidden="1" customHeight="1" x14ac:dyDescent="0.25"/>
    <row r="53" ht="15" hidden="1" customHeight="1" x14ac:dyDescent="0.25"/>
    <row r="54" ht="15" hidden="1" customHeight="1" x14ac:dyDescent="0.25"/>
    <row r="55" ht="15" hidden="1" customHeight="1" x14ac:dyDescent="0.25"/>
  </sheetData>
  <sheetProtection algorithmName="SHA-512" hashValue="Nme6UCeYZNighcamMyu7Ct5GkuxJhSM9mMo3V5awKk500Yk1h8vATu3wi5KIZBmMWG5Vc1n9pz+c5SlptZC02w==" saltValue="CCiFK3qTfH7yeYT1H7l//A==" spinCount="100000" sheet="1" objects="1" scenarios="1"/>
  <mergeCells count="21">
    <mergeCell ref="A12:F12"/>
    <mergeCell ref="G12:J12"/>
    <mergeCell ref="K12:N12"/>
    <mergeCell ref="A10:F10"/>
    <mergeCell ref="G10:J10"/>
    <mergeCell ref="K10:N10"/>
    <mergeCell ref="A11:F11"/>
    <mergeCell ref="G11:J11"/>
    <mergeCell ref="K11:N11"/>
    <mergeCell ref="A8:F8"/>
    <mergeCell ref="G8:J8"/>
    <mergeCell ref="K8:N8"/>
    <mergeCell ref="A9:F9"/>
    <mergeCell ref="G9:J9"/>
    <mergeCell ref="K9:N9"/>
    <mergeCell ref="A1:F1"/>
    <mergeCell ref="N1:S1"/>
    <mergeCell ref="AA1:AF1"/>
    <mergeCell ref="A7:F7"/>
    <mergeCell ref="G7:J7"/>
    <mergeCell ref="K7:N7"/>
  </mergeCells>
  <conditionalFormatting sqref="G9:J12">
    <cfRule type="cellIs" dxfId="11" priority="1" operator="equal">
      <formula>TRUE</formula>
    </cfRule>
  </conditionalFormatting>
  <hyperlinks>
    <hyperlink ref="N1:S1" location="INDEX!A1" display="🏠 INDEX"/>
    <hyperlink ref="AA1:AF1" location="'11'!A1" display="▶ 11"/>
    <hyperlink ref="A1:F1" location="'9'!A1" display="9 ◀"/>
  </hyperlinks>
  <pageMargins left="0.7" right="0.7" top="0.78740157499999996" bottom="0.78740157499999996" header="0.3" footer="0.3"/>
  <pageSetup paperSize="9" orientation="portrait" horizontalDpi="90" verticalDpi="90" r:id="rId1"/>
  <headerFooter>
    <oddHeader>&amp;L&amp;"-,Standard"10 - Sickerleistung Oberboden</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'1'!$X$23:$X$26</xm:f>
          </x14:formula1>
          <xm:sqref>A9:F12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V31"/>
  <sheetViews>
    <sheetView view="pageLayout" zoomScaleNormal="100" workbookViewId="0">
      <selection activeCell="AQ1" sqref="AQ1:AV1"/>
    </sheetView>
  </sheetViews>
  <sheetFormatPr baseColWidth="10" defaultColWidth="0" defaultRowHeight="0" customHeight="1" zeroHeight="1" x14ac:dyDescent="0.25"/>
  <cols>
    <col min="1" max="48" width="2.375" style="1" customWidth="1"/>
    <col min="49" max="16384" width="2.375" style="1" hidden="1"/>
  </cols>
  <sheetData>
    <row r="1" spans="1:48" ht="15" customHeight="1" x14ac:dyDescent="0.25">
      <c r="A1" s="282" t="s">
        <v>235</v>
      </c>
      <c r="B1" s="282"/>
      <c r="C1" s="282"/>
      <c r="D1" s="282"/>
      <c r="E1" s="282"/>
      <c r="F1" s="282"/>
      <c r="V1" s="282" t="s">
        <v>170</v>
      </c>
      <c r="W1" s="282"/>
      <c r="X1" s="282"/>
      <c r="Y1" s="282"/>
      <c r="Z1" s="282"/>
      <c r="AA1" s="282"/>
      <c r="AQ1" s="282" t="s">
        <v>236</v>
      </c>
      <c r="AR1" s="282"/>
      <c r="AS1" s="282"/>
      <c r="AT1" s="282"/>
      <c r="AU1" s="282"/>
      <c r="AV1" s="282"/>
    </row>
    <row r="2" spans="1:48" ht="15" customHeight="1" x14ac:dyDescent="0.25"/>
    <row r="3" spans="1:48" ht="15" customHeight="1" x14ac:dyDescent="0.25">
      <c r="A3" s="1" t="s">
        <v>7</v>
      </c>
      <c r="I3" s="49" t="s">
        <v>80</v>
      </c>
      <c r="AI3" s="51"/>
      <c r="AJ3" s="51"/>
      <c r="AN3" s="23" t="s">
        <v>148</v>
      </c>
    </row>
    <row r="4" spans="1:48" ht="15" customHeight="1" x14ac:dyDescent="0.25">
      <c r="AI4" s="51"/>
      <c r="AJ4" s="51"/>
    </row>
    <row r="5" spans="1:48" ht="15" customHeight="1" x14ac:dyDescent="0.25">
      <c r="A5" s="1" t="s">
        <v>4</v>
      </c>
      <c r="I5" s="322">
        <f>Berechnungstool!$I$10</f>
        <v>0</v>
      </c>
      <c r="J5" s="322"/>
      <c r="K5" s="322"/>
      <c r="L5" s="322"/>
      <c r="M5" s="322"/>
      <c r="N5" s="1" t="s">
        <v>6</v>
      </c>
      <c r="Q5" s="85"/>
      <c r="R5" s="85"/>
      <c r="S5" s="85"/>
      <c r="T5" s="85"/>
      <c r="U5" s="85"/>
      <c r="V5" s="61"/>
      <c r="W5" s="2"/>
      <c r="AI5" s="51"/>
      <c r="AJ5" s="51"/>
    </row>
    <row r="6" spans="1:48" ht="15" customHeight="1" x14ac:dyDescent="0.25">
      <c r="A6" s="1" t="s">
        <v>28</v>
      </c>
      <c r="I6" s="334">
        <f>Berechnungstool!$I$13</f>
        <v>0.25</v>
      </c>
      <c r="J6" s="322"/>
      <c r="K6" s="322"/>
      <c r="L6" s="322"/>
      <c r="M6" s="322"/>
      <c r="N6" s="1" t="s">
        <v>5</v>
      </c>
      <c r="Q6" s="85"/>
      <c r="R6" s="85"/>
      <c r="S6" s="85"/>
      <c r="T6" s="85"/>
      <c r="U6" s="85"/>
      <c r="V6" s="61"/>
      <c r="W6" s="2"/>
      <c r="AI6" s="51"/>
      <c r="AJ6" s="51"/>
    </row>
    <row r="7" spans="1:48" ht="15" customHeight="1" x14ac:dyDescent="0.25">
      <c r="A7" s="1" t="s">
        <v>0</v>
      </c>
      <c r="I7" s="322">
        <f>Berechnungstool!$I$9</f>
        <v>0</v>
      </c>
      <c r="J7" s="322"/>
      <c r="K7" s="322"/>
      <c r="L7" s="322"/>
      <c r="M7" s="322"/>
      <c r="Q7" s="62"/>
      <c r="R7" s="85"/>
      <c r="S7" s="85"/>
      <c r="T7" s="85"/>
      <c r="U7" s="85"/>
      <c r="V7" s="2"/>
      <c r="W7" s="2"/>
      <c r="AI7" s="51"/>
      <c r="AJ7" s="51"/>
      <c r="AK7" s="51"/>
    </row>
    <row r="8" spans="1:48" ht="15" customHeight="1" x14ac:dyDescent="0.25">
      <c r="AI8" s="51"/>
      <c r="AJ8" s="51"/>
    </row>
    <row r="9" spans="1:48" ht="15" customHeight="1" x14ac:dyDescent="0.25">
      <c r="A9" s="304" t="s">
        <v>28</v>
      </c>
      <c r="B9" s="304"/>
      <c r="C9" s="304"/>
      <c r="D9" s="304"/>
      <c r="E9" s="304"/>
      <c r="F9" s="304" t="s">
        <v>9</v>
      </c>
      <c r="G9" s="304"/>
      <c r="H9" s="304"/>
      <c r="I9" s="304"/>
      <c r="J9" s="304"/>
      <c r="K9" s="304"/>
      <c r="L9" s="304" t="s">
        <v>246</v>
      </c>
      <c r="M9" s="304"/>
      <c r="N9" s="304"/>
      <c r="O9" s="304"/>
      <c r="P9" s="304"/>
      <c r="Q9" s="299" t="s">
        <v>18</v>
      </c>
      <c r="R9" s="300"/>
      <c r="S9" s="300"/>
      <c r="T9" s="300"/>
      <c r="U9" s="303"/>
      <c r="V9" s="299" t="s">
        <v>247</v>
      </c>
      <c r="W9" s="300"/>
      <c r="X9" s="300"/>
      <c r="Y9" s="300"/>
      <c r="Z9" s="303"/>
      <c r="AA9" s="304" t="s">
        <v>217</v>
      </c>
      <c r="AB9" s="304"/>
      <c r="AC9" s="304"/>
      <c r="AD9" s="304"/>
      <c r="AE9" s="304"/>
      <c r="AF9" s="304"/>
      <c r="AG9" s="304"/>
      <c r="AH9" s="304"/>
      <c r="AI9" s="304"/>
      <c r="AJ9" s="304" t="s">
        <v>12</v>
      </c>
      <c r="AK9" s="304"/>
      <c r="AL9" s="304"/>
      <c r="AM9" s="304"/>
      <c r="AN9" s="326" t="s">
        <v>248</v>
      </c>
      <c r="AO9" s="326"/>
      <c r="AP9" s="326"/>
      <c r="AQ9" s="326"/>
      <c r="AR9" s="326"/>
      <c r="AS9" s="326"/>
      <c r="AT9" s="326"/>
    </row>
    <row r="10" spans="1:48" ht="15" customHeight="1" x14ac:dyDescent="0.25">
      <c r="A10" s="304" t="s">
        <v>37</v>
      </c>
      <c r="B10" s="304"/>
      <c r="C10" s="304" t="s">
        <v>38</v>
      </c>
      <c r="D10" s="304"/>
      <c r="E10" s="304"/>
      <c r="F10" s="304" t="s">
        <v>14</v>
      </c>
      <c r="G10" s="304"/>
      <c r="H10" s="304"/>
      <c r="I10" s="304"/>
      <c r="J10" s="304"/>
      <c r="K10" s="304"/>
      <c r="L10" s="304" t="s">
        <v>144</v>
      </c>
      <c r="M10" s="304"/>
      <c r="N10" s="304"/>
      <c r="O10" s="304"/>
      <c r="P10" s="304"/>
      <c r="Q10" s="299" t="s">
        <v>144</v>
      </c>
      <c r="R10" s="300"/>
      <c r="S10" s="300"/>
      <c r="T10" s="300"/>
      <c r="U10" s="303"/>
      <c r="V10" s="299" t="s">
        <v>144</v>
      </c>
      <c r="W10" s="300"/>
      <c r="X10" s="300"/>
      <c r="Y10" s="300"/>
      <c r="Z10" s="303"/>
      <c r="AA10" s="304" t="s">
        <v>216</v>
      </c>
      <c r="AB10" s="304"/>
      <c r="AC10" s="304"/>
      <c r="AD10" s="304"/>
      <c r="AE10" s="304" t="s">
        <v>145</v>
      </c>
      <c r="AF10" s="304"/>
      <c r="AG10" s="304"/>
      <c r="AH10" s="304"/>
      <c r="AI10" s="304"/>
      <c r="AJ10" s="304" t="s">
        <v>15</v>
      </c>
      <c r="AK10" s="304"/>
      <c r="AL10" s="304"/>
      <c r="AM10" s="304"/>
      <c r="AN10" s="326" t="s">
        <v>144</v>
      </c>
      <c r="AO10" s="326"/>
      <c r="AP10" s="326"/>
      <c r="AQ10" s="326"/>
      <c r="AR10" s="326"/>
      <c r="AS10" s="326"/>
      <c r="AT10" s="326"/>
    </row>
    <row r="11" spans="1:48" ht="15" customHeight="1" x14ac:dyDescent="0.25">
      <c r="A11" s="320">
        <v>0</v>
      </c>
      <c r="B11" s="320"/>
      <c r="C11" s="321">
        <f>A11/60</f>
        <v>0</v>
      </c>
      <c r="D11" s="321"/>
      <c r="E11" s="321"/>
      <c r="F11" s="327" t="e">
        <f>VLOOKUP(TRUE,'3'!$N$7:$W$30,5,FALSE)/(C11+VLOOKUP(TRUE,'3'!$N$7:$W$30,8,FALSE))*2.78</f>
        <v>#N/A</v>
      </c>
      <c r="G11" s="327"/>
      <c r="H11" s="327"/>
      <c r="I11" s="327"/>
      <c r="J11" s="327"/>
      <c r="K11" s="327"/>
      <c r="L11" s="321" t="e">
        <f>F11*A11*60/1000*Berechnungstool!$Z$6</f>
        <v>#N/A</v>
      </c>
      <c r="M11" s="321"/>
      <c r="N11" s="321"/>
      <c r="O11" s="321"/>
      <c r="P11" s="321"/>
      <c r="Q11" s="323" t="e">
        <f>Berechnungstool!$Z$10*A11*60/1000</f>
        <v>#VALUE!</v>
      </c>
      <c r="R11" s="324"/>
      <c r="S11" s="324"/>
      <c r="T11" s="324"/>
      <c r="U11" s="325"/>
      <c r="V11" s="323" t="e">
        <f>L11+Q11</f>
        <v>#N/A</v>
      </c>
      <c r="W11" s="324"/>
      <c r="X11" s="324"/>
      <c r="Y11" s="324"/>
      <c r="Z11" s="325"/>
      <c r="AA11" s="321">
        <v>0</v>
      </c>
      <c r="AB11" s="321"/>
      <c r="AC11" s="321"/>
      <c r="AD11" s="321"/>
      <c r="AE11" s="321">
        <v>0</v>
      </c>
      <c r="AF11" s="321"/>
      <c r="AG11" s="321"/>
      <c r="AH11" s="321"/>
      <c r="AI11" s="321"/>
      <c r="AJ11" s="320" t="e">
        <f>AND(IF(Berechnungstool!$I$13=0.25,MAX($AN$14:$AS$24),IF(Berechnungstool!$I$13&gt;0.34,MAX($AN$16:$AS$24),MAX($AN$15:$AS$24)))=AN11)</f>
        <v>#N/A</v>
      </c>
      <c r="AK11" s="320"/>
      <c r="AL11" s="320"/>
      <c r="AM11" s="320"/>
      <c r="AN11" s="321" t="e">
        <f t="shared" ref="AN11:AN23" si="0">IF(V11-AE11&lt;0,0,V11-AE11)</f>
        <v>#N/A</v>
      </c>
      <c r="AO11" s="321"/>
      <c r="AP11" s="321"/>
      <c r="AQ11" s="321"/>
      <c r="AR11" s="321"/>
      <c r="AS11" s="321"/>
      <c r="AT11" s="321"/>
    </row>
    <row r="12" spans="1:48" ht="15" customHeight="1" x14ac:dyDescent="0.25">
      <c r="A12" s="320">
        <v>5</v>
      </c>
      <c r="B12" s="320"/>
      <c r="C12" s="321">
        <f t="shared" ref="C12:C22" si="1">A12/60</f>
        <v>8.3333333333333329E-2</v>
      </c>
      <c r="D12" s="321"/>
      <c r="E12" s="321"/>
      <c r="F12" s="327" t="e">
        <f>VLOOKUP(TRUE,'3'!$N$7:$W$30,5,FALSE)/(C12+VLOOKUP(TRUE,'3'!$N$7:$W$30,8,FALSE))*2.78</f>
        <v>#N/A</v>
      </c>
      <c r="G12" s="327"/>
      <c r="H12" s="327"/>
      <c r="I12" s="327"/>
      <c r="J12" s="327"/>
      <c r="K12" s="327"/>
      <c r="L12" s="321" t="e">
        <f>F12*A12*60/1000*Berechnungstool!$Z$6</f>
        <v>#N/A</v>
      </c>
      <c r="M12" s="321"/>
      <c r="N12" s="321"/>
      <c r="O12" s="321"/>
      <c r="P12" s="321"/>
      <c r="Q12" s="323" t="e">
        <f>Berechnungstool!$Z$10*A12*60/1000</f>
        <v>#VALUE!</v>
      </c>
      <c r="R12" s="324"/>
      <c r="S12" s="324"/>
      <c r="T12" s="324"/>
      <c r="U12" s="325"/>
      <c r="V12" s="323" t="e">
        <f t="shared" ref="V12:V23" si="2">L12+Q12</f>
        <v>#N/A</v>
      </c>
      <c r="W12" s="324"/>
      <c r="X12" s="324"/>
      <c r="Y12" s="324"/>
      <c r="Z12" s="325"/>
      <c r="AA12" s="321" t="e">
        <f>Berechnungstool!$Z$36/1000*(A12-A11)</f>
        <v>#VALUE!</v>
      </c>
      <c r="AB12" s="321"/>
      <c r="AC12" s="321"/>
      <c r="AD12" s="321"/>
      <c r="AE12" s="321" t="e">
        <f t="shared" ref="AE12:AE23" si="3">AE11+AA12</f>
        <v>#VALUE!</v>
      </c>
      <c r="AF12" s="321"/>
      <c r="AG12" s="321"/>
      <c r="AH12" s="321"/>
      <c r="AI12" s="321"/>
      <c r="AJ12" s="320" t="e">
        <f>AND(IF(Berechnungstool!$I$13=0.25,MAX($AN$14:$AS$24),IF(Berechnungstool!$I$13&gt;0.34,MAX($AN$16:$AS$24),MAX($AN$15:$AS$24)))=AN12)</f>
        <v>#N/A</v>
      </c>
      <c r="AK12" s="320"/>
      <c r="AL12" s="320"/>
      <c r="AM12" s="320"/>
      <c r="AN12" s="321" t="e">
        <f t="shared" si="0"/>
        <v>#N/A</v>
      </c>
      <c r="AO12" s="321"/>
      <c r="AP12" s="321"/>
      <c r="AQ12" s="321"/>
      <c r="AR12" s="321"/>
      <c r="AS12" s="321"/>
      <c r="AT12" s="321"/>
    </row>
    <row r="13" spans="1:48" ht="15" customHeight="1" x14ac:dyDescent="0.25">
      <c r="A13" s="320">
        <v>10</v>
      </c>
      <c r="B13" s="320"/>
      <c r="C13" s="321">
        <f t="shared" si="1"/>
        <v>0.16666666666666666</v>
      </c>
      <c r="D13" s="321"/>
      <c r="E13" s="321"/>
      <c r="F13" s="327" t="e">
        <f>VLOOKUP(TRUE,'3'!$N$7:$W$30,5,FALSE)/(C13+VLOOKUP(TRUE,'3'!$N$7:$W$30,8,FALSE))*2.78</f>
        <v>#N/A</v>
      </c>
      <c r="G13" s="327"/>
      <c r="H13" s="327"/>
      <c r="I13" s="327"/>
      <c r="J13" s="327"/>
      <c r="K13" s="327"/>
      <c r="L13" s="321" t="e">
        <f>F13*A13*60/1000*Berechnungstool!$Z$6</f>
        <v>#N/A</v>
      </c>
      <c r="M13" s="321"/>
      <c r="N13" s="321"/>
      <c r="O13" s="321"/>
      <c r="P13" s="321"/>
      <c r="Q13" s="323" t="e">
        <f>Berechnungstool!$Z$10*A13*60/1000</f>
        <v>#VALUE!</v>
      </c>
      <c r="R13" s="324"/>
      <c r="S13" s="324"/>
      <c r="T13" s="324"/>
      <c r="U13" s="325"/>
      <c r="V13" s="323" t="e">
        <f t="shared" si="2"/>
        <v>#N/A</v>
      </c>
      <c r="W13" s="324"/>
      <c r="X13" s="324"/>
      <c r="Y13" s="324"/>
      <c r="Z13" s="325"/>
      <c r="AA13" s="321" t="e">
        <f>Berechnungstool!$Z$36/1000*(A13-A12)</f>
        <v>#VALUE!</v>
      </c>
      <c r="AB13" s="321"/>
      <c r="AC13" s="321"/>
      <c r="AD13" s="321"/>
      <c r="AE13" s="321" t="e">
        <f t="shared" si="3"/>
        <v>#VALUE!</v>
      </c>
      <c r="AF13" s="321"/>
      <c r="AG13" s="321"/>
      <c r="AH13" s="321"/>
      <c r="AI13" s="321"/>
      <c r="AJ13" s="320" t="e">
        <f>AND(IF(Berechnungstool!$I$13=0.25,MAX($AN$14:$AS$24),IF(Berechnungstool!$I$13&gt;0.34,MAX($AN$16:$AS$24),MAX($AN$15:$AS$24)))=AN13)</f>
        <v>#N/A</v>
      </c>
      <c r="AK13" s="320"/>
      <c r="AL13" s="320"/>
      <c r="AM13" s="320"/>
      <c r="AN13" s="321" t="e">
        <f t="shared" si="0"/>
        <v>#N/A</v>
      </c>
      <c r="AO13" s="321"/>
      <c r="AP13" s="321"/>
      <c r="AQ13" s="321"/>
      <c r="AR13" s="321"/>
      <c r="AS13" s="321"/>
      <c r="AT13" s="321"/>
    </row>
    <row r="14" spans="1:48" ht="15" customHeight="1" x14ac:dyDescent="0.25">
      <c r="A14" s="254">
        <v>15</v>
      </c>
      <c r="B14" s="254"/>
      <c r="C14" s="313">
        <f t="shared" si="1"/>
        <v>0.25</v>
      </c>
      <c r="D14" s="313"/>
      <c r="E14" s="313"/>
      <c r="F14" s="328" t="e">
        <f>VLOOKUP(TRUE,'3'!$N$7:$W$30,5,FALSE)/(C14+VLOOKUP(TRUE,'3'!$N$7:$W$30,8,FALSE))*2.78</f>
        <v>#N/A</v>
      </c>
      <c r="G14" s="328"/>
      <c r="H14" s="328"/>
      <c r="I14" s="328"/>
      <c r="J14" s="328"/>
      <c r="K14" s="328"/>
      <c r="L14" s="313" t="e">
        <f>F14*A14*60/1000*Berechnungstool!$Z$6</f>
        <v>#N/A</v>
      </c>
      <c r="M14" s="313"/>
      <c r="N14" s="313"/>
      <c r="O14" s="313"/>
      <c r="P14" s="313"/>
      <c r="Q14" s="329" t="e">
        <f>Berechnungstool!$Z$10*A14*60/1000</f>
        <v>#VALUE!</v>
      </c>
      <c r="R14" s="257"/>
      <c r="S14" s="257"/>
      <c r="T14" s="257"/>
      <c r="U14" s="258"/>
      <c r="V14" s="329" t="e">
        <f t="shared" si="2"/>
        <v>#N/A</v>
      </c>
      <c r="W14" s="257"/>
      <c r="X14" s="257"/>
      <c r="Y14" s="257"/>
      <c r="Z14" s="258"/>
      <c r="AA14" s="313" t="e">
        <f>Berechnungstool!$Z$36/1000*(A14-A13)</f>
        <v>#VALUE!</v>
      </c>
      <c r="AB14" s="313"/>
      <c r="AC14" s="313"/>
      <c r="AD14" s="313"/>
      <c r="AE14" s="313" t="e">
        <f t="shared" si="3"/>
        <v>#VALUE!</v>
      </c>
      <c r="AF14" s="313"/>
      <c r="AG14" s="313"/>
      <c r="AH14" s="313"/>
      <c r="AI14" s="313"/>
      <c r="AJ14" s="254" t="e">
        <f>AND(IF(Berechnungstool!$I$13=0.25,MAX($AN$14:$AS$24),IF(Berechnungstool!$I$13&gt;0.34,MAX($AN$16:$AS$24),MAX($AN$15:$AS$24)))=AN14)</f>
        <v>#N/A</v>
      </c>
      <c r="AK14" s="254"/>
      <c r="AL14" s="254"/>
      <c r="AM14" s="254"/>
      <c r="AN14" s="313" t="e">
        <f t="shared" si="0"/>
        <v>#N/A</v>
      </c>
      <c r="AO14" s="313"/>
      <c r="AP14" s="313"/>
      <c r="AQ14" s="313"/>
      <c r="AR14" s="313"/>
      <c r="AS14" s="313"/>
      <c r="AT14" s="313"/>
    </row>
    <row r="15" spans="1:48" ht="15" customHeight="1" x14ac:dyDescent="0.25">
      <c r="A15" s="254">
        <v>20</v>
      </c>
      <c r="B15" s="254"/>
      <c r="C15" s="313">
        <f t="shared" si="1"/>
        <v>0.33333333333333331</v>
      </c>
      <c r="D15" s="313"/>
      <c r="E15" s="313"/>
      <c r="F15" s="328" t="e">
        <f>VLOOKUP(TRUE,'3'!$N$7:$W$30,5,FALSE)/(C15+VLOOKUP(TRUE,'3'!$N$7:$W$30,8,FALSE))*2.78</f>
        <v>#N/A</v>
      </c>
      <c r="G15" s="328"/>
      <c r="H15" s="328"/>
      <c r="I15" s="328"/>
      <c r="J15" s="328"/>
      <c r="K15" s="328"/>
      <c r="L15" s="313" t="e">
        <f>F15*A15*60/1000*Berechnungstool!$Z$6</f>
        <v>#N/A</v>
      </c>
      <c r="M15" s="313"/>
      <c r="N15" s="313"/>
      <c r="O15" s="313"/>
      <c r="P15" s="313"/>
      <c r="Q15" s="329" t="e">
        <f>Berechnungstool!$Z$10*A15*60/1000</f>
        <v>#VALUE!</v>
      </c>
      <c r="R15" s="257"/>
      <c r="S15" s="257"/>
      <c r="T15" s="257"/>
      <c r="U15" s="258"/>
      <c r="V15" s="329" t="e">
        <f t="shared" si="2"/>
        <v>#N/A</v>
      </c>
      <c r="W15" s="257"/>
      <c r="X15" s="257"/>
      <c r="Y15" s="257"/>
      <c r="Z15" s="258"/>
      <c r="AA15" s="313" t="e">
        <f>Berechnungstool!$Z$36/1000*(A15-A14)</f>
        <v>#VALUE!</v>
      </c>
      <c r="AB15" s="313"/>
      <c r="AC15" s="313"/>
      <c r="AD15" s="313"/>
      <c r="AE15" s="313" t="e">
        <f t="shared" si="3"/>
        <v>#VALUE!</v>
      </c>
      <c r="AF15" s="313"/>
      <c r="AG15" s="313"/>
      <c r="AH15" s="313"/>
      <c r="AI15" s="313"/>
      <c r="AJ15" s="254" t="e">
        <f>AND(IF(Berechnungstool!$I$13=0.25,MAX($AN$14:$AS$24),IF(Berechnungstool!$I$13&gt;0.34,MAX($AN$16:$AS$24),MAX($AN$15:$AS$24)))=AN15)</f>
        <v>#N/A</v>
      </c>
      <c r="AK15" s="254"/>
      <c r="AL15" s="254"/>
      <c r="AM15" s="254"/>
      <c r="AN15" s="313" t="e">
        <f t="shared" si="0"/>
        <v>#N/A</v>
      </c>
      <c r="AO15" s="313"/>
      <c r="AP15" s="313"/>
      <c r="AQ15" s="313"/>
      <c r="AR15" s="313"/>
      <c r="AS15" s="313"/>
      <c r="AT15" s="313"/>
    </row>
    <row r="16" spans="1:48" ht="15" customHeight="1" x14ac:dyDescent="0.25">
      <c r="A16" s="254">
        <v>25</v>
      </c>
      <c r="B16" s="254"/>
      <c r="C16" s="313">
        <f t="shared" si="1"/>
        <v>0.41666666666666669</v>
      </c>
      <c r="D16" s="313"/>
      <c r="E16" s="313"/>
      <c r="F16" s="328" t="e">
        <f>VLOOKUP(TRUE,'3'!$N$7:$W$30,5,FALSE)/(C16+VLOOKUP(TRUE,'3'!$N$7:$W$30,8,FALSE))*2.78</f>
        <v>#N/A</v>
      </c>
      <c r="G16" s="328"/>
      <c r="H16" s="328"/>
      <c r="I16" s="328"/>
      <c r="J16" s="328"/>
      <c r="K16" s="328"/>
      <c r="L16" s="313" t="e">
        <f>F16*A16*60/1000*Berechnungstool!$Z$6</f>
        <v>#N/A</v>
      </c>
      <c r="M16" s="313"/>
      <c r="N16" s="313"/>
      <c r="O16" s="313"/>
      <c r="P16" s="313"/>
      <c r="Q16" s="329" t="e">
        <f>Berechnungstool!$Z$10*A16*60/1000</f>
        <v>#VALUE!</v>
      </c>
      <c r="R16" s="257"/>
      <c r="S16" s="257"/>
      <c r="T16" s="257"/>
      <c r="U16" s="258"/>
      <c r="V16" s="329" t="e">
        <f t="shared" si="2"/>
        <v>#N/A</v>
      </c>
      <c r="W16" s="257"/>
      <c r="X16" s="257"/>
      <c r="Y16" s="257"/>
      <c r="Z16" s="258"/>
      <c r="AA16" s="313" t="e">
        <f>Berechnungstool!$Z$36/1000*(A16-A15)</f>
        <v>#VALUE!</v>
      </c>
      <c r="AB16" s="313"/>
      <c r="AC16" s="313"/>
      <c r="AD16" s="313"/>
      <c r="AE16" s="313" t="e">
        <f t="shared" si="3"/>
        <v>#VALUE!</v>
      </c>
      <c r="AF16" s="313"/>
      <c r="AG16" s="313"/>
      <c r="AH16" s="313"/>
      <c r="AI16" s="313"/>
      <c r="AJ16" s="254" t="e">
        <f>AND(IF(Berechnungstool!$I$13=0.25,MAX($AN$14:$AS$24),IF(Berechnungstool!$I$13&gt;0.34,MAX($AN$16:$AS$24),MAX($AN$15:$AS$24)))=AN16)</f>
        <v>#N/A</v>
      </c>
      <c r="AK16" s="254"/>
      <c r="AL16" s="254"/>
      <c r="AM16" s="254"/>
      <c r="AN16" s="313" t="e">
        <f t="shared" si="0"/>
        <v>#N/A</v>
      </c>
      <c r="AO16" s="313"/>
      <c r="AP16" s="313"/>
      <c r="AQ16" s="313"/>
      <c r="AR16" s="313"/>
      <c r="AS16" s="313"/>
      <c r="AT16" s="313"/>
    </row>
    <row r="17" spans="1:46" ht="15" customHeight="1" x14ac:dyDescent="0.25">
      <c r="A17" s="254">
        <v>30</v>
      </c>
      <c r="B17" s="254"/>
      <c r="C17" s="313">
        <f t="shared" si="1"/>
        <v>0.5</v>
      </c>
      <c r="D17" s="313"/>
      <c r="E17" s="313"/>
      <c r="F17" s="328" t="e">
        <f>VLOOKUP(TRUE,'3'!$N$7:$W$30,5,FALSE)/(C17+VLOOKUP(TRUE,'3'!$N$7:$W$30,8,FALSE))*2.78</f>
        <v>#N/A</v>
      </c>
      <c r="G17" s="328"/>
      <c r="H17" s="328"/>
      <c r="I17" s="328"/>
      <c r="J17" s="328"/>
      <c r="K17" s="328"/>
      <c r="L17" s="313" t="e">
        <f>F17*A17*60/1000*Berechnungstool!$Z$6</f>
        <v>#N/A</v>
      </c>
      <c r="M17" s="313"/>
      <c r="N17" s="313"/>
      <c r="O17" s="313"/>
      <c r="P17" s="313"/>
      <c r="Q17" s="329" t="e">
        <f>Berechnungstool!$Z$10*A17*60/1000</f>
        <v>#VALUE!</v>
      </c>
      <c r="R17" s="257"/>
      <c r="S17" s="257"/>
      <c r="T17" s="257"/>
      <c r="U17" s="258"/>
      <c r="V17" s="329" t="e">
        <f t="shared" si="2"/>
        <v>#N/A</v>
      </c>
      <c r="W17" s="257"/>
      <c r="X17" s="257"/>
      <c r="Y17" s="257"/>
      <c r="Z17" s="258"/>
      <c r="AA17" s="313" t="e">
        <f>Berechnungstool!$Z$36/1000*(A17-A16)</f>
        <v>#VALUE!</v>
      </c>
      <c r="AB17" s="313"/>
      <c r="AC17" s="313"/>
      <c r="AD17" s="313"/>
      <c r="AE17" s="313" t="e">
        <f t="shared" si="3"/>
        <v>#VALUE!</v>
      </c>
      <c r="AF17" s="313"/>
      <c r="AG17" s="313"/>
      <c r="AH17" s="313"/>
      <c r="AI17" s="313"/>
      <c r="AJ17" s="254" t="e">
        <f>AND(IF(Berechnungstool!$I$13=0.25,MAX($AN$14:$AS$24),IF(Berechnungstool!$I$13&gt;0.34,MAX($AN$16:$AS$24),MAX($AN$15:$AS$24)))=AN17)</f>
        <v>#N/A</v>
      </c>
      <c r="AK17" s="254"/>
      <c r="AL17" s="254"/>
      <c r="AM17" s="254"/>
      <c r="AN17" s="313" t="e">
        <f t="shared" si="0"/>
        <v>#N/A</v>
      </c>
      <c r="AO17" s="313"/>
      <c r="AP17" s="313"/>
      <c r="AQ17" s="313"/>
      <c r="AR17" s="313"/>
      <c r="AS17" s="313"/>
      <c r="AT17" s="313"/>
    </row>
    <row r="18" spans="1:46" ht="15" customHeight="1" x14ac:dyDescent="0.25">
      <c r="A18" s="254">
        <v>35</v>
      </c>
      <c r="B18" s="254"/>
      <c r="C18" s="313">
        <f t="shared" si="1"/>
        <v>0.58333333333333337</v>
      </c>
      <c r="D18" s="313"/>
      <c r="E18" s="313"/>
      <c r="F18" s="328" t="e">
        <f>VLOOKUP(TRUE,'3'!$N$7:$W$30,5,FALSE)/(C18+VLOOKUP(TRUE,'3'!$N$7:$W$30,8,FALSE))*2.78</f>
        <v>#N/A</v>
      </c>
      <c r="G18" s="328"/>
      <c r="H18" s="328"/>
      <c r="I18" s="328"/>
      <c r="J18" s="328"/>
      <c r="K18" s="328"/>
      <c r="L18" s="313" t="e">
        <f>F18*A18*60/1000*Berechnungstool!$Z$6</f>
        <v>#N/A</v>
      </c>
      <c r="M18" s="313"/>
      <c r="N18" s="313"/>
      <c r="O18" s="313"/>
      <c r="P18" s="313"/>
      <c r="Q18" s="329" t="e">
        <f>Berechnungstool!$Z$10*A18*60/1000</f>
        <v>#VALUE!</v>
      </c>
      <c r="R18" s="257"/>
      <c r="S18" s="257"/>
      <c r="T18" s="257"/>
      <c r="U18" s="258"/>
      <c r="V18" s="329" t="e">
        <f t="shared" si="2"/>
        <v>#N/A</v>
      </c>
      <c r="W18" s="257"/>
      <c r="X18" s="257"/>
      <c r="Y18" s="257"/>
      <c r="Z18" s="258"/>
      <c r="AA18" s="313" t="e">
        <f>Berechnungstool!$Z$36/1000*(A18-A17)</f>
        <v>#VALUE!</v>
      </c>
      <c r="AB18" s="313"/>
      <c r="AC18" s="313"/>
      <c r="AD18" s="313"/>
      <c r="AE18" s="313" t="e">
        <f t="shared" si="3"/>
        <v>#VALUE!</v>
      </c>
      <c r="AF18" s="313"/>
      <c r="AG18" s="313"/>
      <c r="AH18" s="313"/>
      <c r="AI18" s="313"/>
      <c r="AJ18" s="254" t="e">
        <f>AND(IF(Berechnungstool!$I$13=0.25,MAX($AN$14:$AS$24),IF(Berechnungstool!$I$13&gt;0.34,MAX($AN$16:$AS$24),MAX($AN$15:$AS$24)))=AN18)</f>
        <v>#N/A</v>
      </c>
      <c r="AK18" s="254"/>
      <c r="AL18" s="254"/>
      <c r="AM18" s="254"/>
      <c r="AN18" s="313" t="e">
        <f t="shared" si="0"/>
        <v>#N/A</v>
      </c>
      <c r="AO18" s="313"/>
      <c r="AP18" s="313"/>
      <c r="AQ18" s="313"/>
      <c r="AR18" s="313"/>
      <c r="AS18" s="313"/>
      <c r="AT18" s="313"/>
    </row>
    <row r="19" spans="1:46" ht="15" customHeight="1" x14ac:dyDescent="0.25">
      <c r="A19" s="254">
        <v>40</v>
      </c>
      <c r="B19" s="254"/>
      <c r="C19" s="313">
        <f t="shared" si="1"/>
        <v>0.66666666666666663</v>
      </c>
      <c r="D19" s="313"/>
      <c r="E19" s="313"/>
      <c r="F19" s="328" t="e">
        <f>VLOOKUP(TRUE,'3'!$N$7:$W$30,5,FALSE)/(C19+VLOOKUP(TRUE,'3'!$N$7:$W$30,8,FALSE))*2.78</f>
        <v>#N/A</v>
      </c>
      <c r="G19" s="328"/>
      <c r="H19" s="328"/>
      <c r="I19" s="328"/>
      <c r="J19" s="328"/>
      <c r="K19" s="328"/>
      <c r="L19" s="313" t="e">
        <f>F19*A19*60/1000*Berechnungstool!$Z$6</f>
        <v>#N/A</v>
      </c>
      <c r="M19" s="313"/>
      <c r="N19" s="313"/>
      <c r="O19" s="313"/>
      <c r="P19" s="313"/>
      <c r="Q19" s="329" t="e">
        <f>Berechnungstool!$Z$10*A19*60/1000</f>
        <v>#VALUE!</v>
      </c>
      <c r="R19" s="257"/>
      <c r="S19" s="257"/>
      <c r="T19" s="257"/>
      <c r="U19" s="258"/>
      <c r="V19" s="329" t="e">
        <f t="shared" si="2"/>
        <v>#N/A</v>
      </c>
      <c r="W19" s="257"/>
      <c r="X19" s="257"/>
      <c r="Y19" s="257"/>
      <c r="Z19" s="258"/>
      <c r="AA19" s="313" t="e">
        <f>Berechnungstool!$Z$36/1000*(A19-A18)</f>
        <v>#VALUE!</v>
      </c>
      <c r="AB19" s="313"/>
      <c r="AC19" s="313"/>
      <c r="AD19" s="313"/>
      <c r="AE19" s="313" t="e">
        <f t="shared" si="3"/>
        <v>#VALUE!</v>
      </c>
      <c r="AF19" s="313"/>
      <c r="AG19" s="313"/>
      <c r="AH19" s="313"/>
      <c r="AI19" s="313"/>
      <c r="AJ19" s="254" t="e">
        <f>AND(IF(Berechnungstool!$I$13=0.25,MAX($AN$14:$AS$24),IF(Berechnungstool!$I$13&gt;0.34,MAX($AN$16:$AS$24),MAX($AN$15:$AS$24)))=AN19)</f>
        <v>#N/A</v>
      </c>
      <c r="AK19" s="254"/>
      <c r="AL19" s="254"/>
      <c r="AM19" s="254"/>
      <c r="AN19" s="313" t="e">
        <f t="shared" si="0"/>
        <v>#N/A</v>
      </c>
      <c r="AO19" s="313"/>
      <c r="AP19" s="313"/>
      <c r="AQ19" s="313"/>
      <c r="AR19" s="313"/>
      <c r="AS19" s="313"/>
      <c r="AT19" s="313"/>
    </row>
    <row r="20" spans="1:46" ht="15" customHeight="1" x14ac:dyDescent="0.25">
      <c r="A20" s="254">
        <v>45</v>
      </c>
      <c r="B20" s="254"/>
      <c r="C20" s="313">
        <f t="shared" si="1"/>
        <v>0.75</v>
      </c>
      <c r="D20" s="313"/>
      <c r="E20" s="313"/>
      <c r="F20" s="328" t="e">
        <f>VLOOKUP(TRUE,'3'!$N$7:$W$30,5,FALSE)/(C20+VLOOKUP(TRUE,'3'!$N$7:$W$30,8,FALSE))*2.78</f>
        <v>#N/A</v>
      </c>
      <c r="G20" s="328"/>
      <c r="H20" s="328"/>
      <c r="I20" s="328"/>
      <c r="J20" s="328"/>
      <c r="K20" s="328"/>
      <c r="L20" s="313" t="e">
        <f>F20*A20*60/1000*Berechnungstool!$Z$6</f>
        <v>#N/A</v>
      </c>
      <c r="M20" s="313"/>
      <c r="N20" s="313"/>
      <c r="O20" s="313"/>
      <c r="P20" s="313"/>
      <c r="Q20" s="329" t="e">
        <f>Berechnungstool!$Z$10*A20*60/1000</f>
        <v>#VALUE!</v>
      </c>
      <c r="R20" s="257"/>
      <c r="S20" s="257"/>
      <c r="T20" s="257"/>
      <c r="U20" s="258"/>
      <c r="V20" s="329" t="e">
        <f t="shared" si="2"/>
        <v>#N/A</v>
      </c>
      <c r="W20" s="257"/>
      <c r="X20" s="257"/>
      <c r="Y20" s="257"/>
      <c r="Z20" s="258"/>
      <c r="AA20" s="313" t="e">
        <f>Berechnungstool!$Z$36/1000*(A20-A19)</f>
        <v>#VALUE!</v>
      </c>
      <c r="AB20" s="313"/>
      <c r="AC20" s="313"/>
      <c r="AD20" s="313"/>
      <c r="AE20" s="313" t="e">
        <f t="shared" si="3"/>
        <v>#VALUE!</v>
      </c>
      <c r="AF20" s="313"/>
      <c r="AG20" s="313"/>
      <c r="AH20" s="313"/>
      <c r="AI20" s="313"/>
      <c r="AJ20" s="254" t="e">
        <f>AND(IF(Berechnungstool!$I$13=0.25,MAX($AN$14:$AS$24),IF(Berechnungstool!$I$13&gt;0.34,MAX($AN$16:$AS$24),MAX($AN$15:$AS$24)))=AN20)</f>
        <v>#N/A</v>
      </c>
      <c r="AK20" s="254"/>
      <c r="AL20" s="254"/>
      <c r="AM20" s="254"/>
      <c r="AN20" s="313" t="e">
        <f t="shared" si="0"/>
        <v>#N/A</v>
      </c>
      <c r="AO20" s="313"/>
      <c r="AP20" s="313"/>
      <c r="AQ20" s="313"/>
      <c r="AR20" s="313"/>
      <c r="AS20" s="313"/>
      <c r="AT20" s="313"/>
    </row>
    <row r="21" spans="1:46" ht="15" customHeight="1" x14ac:dyDescent="0.25">
      <c r="A21" s="254">
        <v>50</v>
      </c>
      <c r="B21" s="254"/>
      <c r="C21" s="313">
        <f t="shared" si="1"/>
        <v>0.83333333333333337</v>
      </c>
      <c r="D21" s="313"/>
      <c r="E21" s="313"/>
      <c r="F21" s="328" t="e">
        <f>VLOOKUP(TRUE,'3'!$N$7:$W$30,5,FALSE)/(C21+VLOOKUP(TRUE,'3'!$N$7:$W$30,8,FALSE))*2.78</f>
        <v>#N/A</v>
      </c>
      <c r="G21" s="328"/>
      <c r="H21" s="328"/>
      <c r="I21" s="328"/>
      <c r="J21" s="328"/>
      <c r="K21" s="328"/>
      <c r="L21" s="313" t="e">
        <f>F21*A21*60/1000*Berechnungstool!$Z$6</f>
        <v>#N/A</v>
      </c>
      <c r="M21" s="313"/>
      <c r="N21" s="313"/>
      <c r="O21" s="313"/>
      <c r="P21" s="313"/>
      <c r="Q21" s="329" t="e">
        <f>Berechnungstool!$Z$10*A21*60/1000</f>
        <v>#VALUE!</v>
      </c>
      <c r="R21" s="257"/>
      <c r="S21" s="257"/>
      <c r="T21" s="257"/>
      <c r="U21" s="258"/>
      <c r="V21" s="329" t="e">
        <f t="shared" si="2"/>
        <v>#N/A</v>
      </c>
      <c r="W21" s="257"/>
      <c r="X21" s="257"/>
      <c r="Y21" s="257"/>
      <c r="Z21" s="258"/>
      <c r="AA21" s="313" t="e">
        <f>Berechnungstool!$Z$36/1000*(A21-A20)</f>
        <v>#VALUE!</v>
      </c>
      <c r="AB21" s="313"/>
      <c r="AC21" s="313"/>
      <c r="AD21" s="313"/>
      <c r="AE21" s="313" t="e">
        <f t="shared" si="3"/>
        <v>#VALUE!</v>
      </c>
      <c r="AF21" s="313"/>
      <c r="AG21" s="313"/>
      <c r="AH21" s="313"/>
      <c r="AI21" s="313"/>
      <c r="AJ21" s="254" t="e">
        <f>AND(IF(Berechnungstool!$I$13=0.25,MAX($AN$14:$AS$24),IF(Berechnungstool!$I$13&gt;0.34,MAX($AN$16:$AS$24),MAX($AN$15:$AS$24)))=AN21)</f>
        <v>#N/A</v>
      </c>
      <c r="AK21" s="254"/>
      <c r="AL21" s="254"/>
      <c r="AM21" s="254"/>
      <c r="AN21" s="313" t="e">
        <f t="shared" si="0"/>
        <v>#N/A</v>
      </c>
      <c r="AO21" s="313"/>
      <c r="AP21" s="313"/>
      <c r="AQ21" s="313"/>
      <c r="AR21" s="313"/>
      <c r="AS21" s="313"/>
      <c r="AT21" s="313"/>
    </row>
    <row r="22" spans="1:46" ht="15" customHeight="1" x14ac:dyDescent="0.25">
      <c r="A22" s="254">
        <v>55</v>
      </c>
      <c r="B22" s="254"/>
      <c r="C22" s="313">
        <f t="shared" si="1"/>
        <v>0.91666666666666663</v>
      </c>
      <c r="D22" s="313"/>
      <c r="E22" s="313"/>
      <c r="F22" s="328" t="e">
        <f>VLOOKUP(TRUE,'3'!$N$7:$W$30,5,FALSE)/(C22+VLOOKUP(TRUE,'3'!$N$7:$W$30,8,FALSE))*2.78</f>
        <v>#N/A</v>
      </c>
      <c r="G22" s="328"/>
      <c r="H22" s="328"/>
      <c r="I22" s="328"/>
      <c r="J22" s="328"/>
      <c r="K22" s="328"/>
      <c r="L22" s="313" t="e">
        <f>F22*A22*60/1000*Berechnungstool!$Z$6</f>
        <v>#N/A</v>
      </c>
      <c r="M22" s="313"/>
      <c r="N22" s="313"/>
      <c r="O22" s="313"/>
      <c r="P22" s="313"/>
      <c r="Q22" s="329" t="e">
        <f>Berechnungstool!$Z$10*A22*60/1000</f>
        <v>#VALUE!</v>
      </c>
      <c r="R22" s="257"/>
      <c r="S22" s="257"/>
      <c r="T22" s="257"/>
      <c r="U22" s="258"/>
      <c r="V22" s="329" t="e">
        <f t="shared" si="2"/>
        <v>#N/A</v>
      </c>
      <c r="W22" s="257"/>
      <c r="X22" s="257"/>
      <c r="Y22" s="257"/>
      <c r="Z22" s="258"/>
      <c r="AA22" s="313" t="e">
        <f>Berechnungstool!$Z$36/1000*(A22-A21)</f>
        <v>#VALUE!</v>
      </c>
      <c r="AB22" s="313"/>
      <c r="AC22" s="313"/>
      <c r="AD22" s="313"/>
      <c r="AE22" s="313" t="e">
        <f t="shared" si="3"/>
        <v>#VALUE!</v>
      </c>
      <c r="AF22" s="313"/>
      <c r="AG22" s="313"/>
      <c r="AH22" s="313"/>
      <c r="AI22" s="313"/>
      <c r="AJ22" s="254" t="e">
        <f>AND(IF(Berechnungstool!$I$13=0.25,MAX($AN$14:$AS$24),IF(Berechnungstool!$I$13&gt;0.34,MAX($AN$16:$AS$24),MAX($AN$15:$AS$24)))=AN22)</f>
        <v>#N/A</v>
      </c>
      <c r="AK22" s="254"/>
      <c r="AL22" s="254"/>
      <c r="AM22" s="254"/>
      <c r="AN22" s="313" t="e">
        <f t="shared" si="0"/>
        <v>#N/A</v>
      </c>
      <c r="AO22" s="313"/>
      <c r="AP22" s="313"/>
      <c r="AQ22" s="313"/>
      <c r="AR22" s="313"/>
      <c r="AS22" s="313"/>
      <c r="AT22" s="313"/>
    </row>
    <row r="23" spans="1:46" ht="15" customHeight="1" x14ac:dyDescent="0.25">
      <c r="A23" s="254">
        <v>60</v>
      </c>
      <c r="B23" s="254"/>
      <c r="C23" s="313">
        <f t="shared" ref="C23" si="4">A23/60</f>
        <v>1</v>
      </c>
      <c r="D23" s="313"/>
      <c r="E23" s="313"/>
      <c r="F23" s="328" t="e">
        <f>VLOOKUP(TRUE,'3'!$N$7:$W$30,5,FALSE)/(C23+VLOOKUP(TRUE,'3'!$N$7:$W$30,8,FALSE))*2.78</f>
        <v>#N/A</v>
      </c>
      <c r="G23" s="328"/>
      <c r="H23" s="328"/>
      <c r="I23" s="328"/>
      <c r="J23" s="328"/>
      <c r="K23" s="328"/>
      <c r="L23" s="313" t="e">
        <f>F23*A23*60/1000*Berechnungstool!$Z$6</f>
        <v>#N/A</v>
      </c>
      <c r="M23" s="313"/>
      <c r="N23" s="313"/>
      <c r="O23" s="313"/>
      <c r="P23" s="313"/>
      <c r="Q23" s="329" t="e">
        <f>Berechnungstool!$Z$10*A23*60/1000</f>
        <v>#VALUE!</v>
      </c>
      <c r="R23" s="257"/>
      <c r="S23" s="257"/>
      <c r="T23" s="257"/>
      <c r="U23" s="258"/>
      <c r="V23" s="329" t="e">
        <f t="shared" si="2"/>
        <v>#N/A</v>
      </c>
      <c r="W23" s="257"/>
      <c r="X23" s="257"/>
      <c r="Y23" s="257"/>
      <c r="Z23" s="258"/>
      <c r="AA23" s="313" t="e">
        <f>Berechnungstool!$Z$36/1000*(A23-A22)</f>
        <v>#VALUE!</v>
      </c>
      <c r="AB23" s="313"/>
      <c r="AC23" s="313"/>
      <c r="AD23" s="313"/>
      <c r="AE23" s="313" t="e">
        <f t="shared" si="3"/>
        <v>#VALUE!</v>
      </c>
      <c r="AF23" s="313"/>
      <c r="AG23" s="313"/>
      <c r="AH23" s="313"/>
      <c r="AI23" s="313"/>
      <c r="AJ23" s="254" t="e">
        <f>AND(IF(Berechnungstool!$I$13=0.25,MAX($AN$14:$AS$24),IF(Berechnungstool!$I$13&gt;0.34,MAX($AN$16:$AS$24),MAX($AN$15:$AS$24)))=AN23)</f>
        <v>#N/A</v>
      </c>
      <c r="AK23" s="254"/>
      <c r="AL23" s="254"/>
      <c r="AM23" s="254"/>
      <c r="AN23" s="313" t="e">
        <f t="shared" si="0"/>
        <v>#N/A</v>
      </c>
      <c r="AO23" s="313"/>
      <c r="AP23" s="313"/>
      <c r="AQ23" s="313"/>
      <c r="AR23" s="313"/>
      <c r="AS23" s="313"/>
      <c r="AT23" s="313"/>
    </row>
    <row r="24" spans="1:46" ht="15" customHeight="1" x14ac:dyDescent="0.25">
      <c r="A24" s="320">
        <v>65</v>
      </c>
      <c r="B24" s="320"/>
      <c r="C24" s="321">
        <f t="shared" ref="C24" si="5">A24/60</f>
        <v>1.0833333333333333</v>
      </c>
      <c r="D24" s="321"/>
      <c r="E24" s="321"/>
      <c r="F24" s="327" t="e">
        <f>VLOOKUP(TRUE,'3'!$N$7:$W$30,5,FALSE)/(C24+VLOOKUP(TRUE,'3'!$N$7:$W$30,8,FALSE))*2.78</f>
        <v>#N/A</v>
      </c>
      <c r="G24" s="327"/>
      <c r="H24" s="327"/>
      <c r="I24" s="327"/>
      <c r="J24" s="327"/>
      <c r="K24" s="327"/>
      <c r="L24" s="321" t="e">
        <f>F24*A24*60/1000*Berechnungstool!$Z$6</f>
        <v>#N/A</v>
      </c>
      <c r="M24" s="321"/>
      <c r="N24" s="321"/>
      <c r="O24" s="321"/>
      <c r="P24" s="321"/>
      <c r="Q24" s="323" t="e">
        <f>Berechnungstool!$Z$10*A24*60/1000</f>
        <v>#VALUE!</v>
      </c>
      <c r="R24" s="324"/>
      <c r="S24" s="324"/>
      <c r="T24" s="324"/>
      <c r="U24" s="325"/>
      <c r="V24" s="323" t="e">
        <f t="shared" ref="V24" si="6">L24+Q24</f>
        <v>#N/A</v>
      </c>
      <c r="W24" s="324"/>
      <c r="X24" s="324"/>
      <c r="Y24" s="324"/>
      <c r="Z24" s="325"/>
      <c r="AA24" s="321" t="e">
        <f>Berechnungstool!$Z$36/1000*(A24-A23)</f>
        <v>#VALUE!</v>
      </c>
      <c r="AB24" s="321"/>
      <c r="AC24" s="321"/>
      <c r="AD24" s="321"/>
      <c r="AE24" s="321" t="e">
        <f t="shared" ref="AE24" si="7">AE23+AA24</f>
        <v>#VALUE!</v>
      </c>
      <c r="AF24" s="321"/>
      <c r="AG24" s="321"/>
      <c r="AH24" s="321"/>
      <c r="AI24" s="321"/>
      <c r="AJ24" s="320" t="e">
        <f>AND(IF(Berechnungstool!$I$13=0.25,MAX($AN$14:$AS$24),IF(Berechnungstool!$I$13&gt;0.34,MAX($AN$16:$AS$24),MAX($AN$15:$AS$24)))=AN24)</f>
        <v>#N/A</v>
      </c>
      <c r="AK24" s="320"/>
      <c r="AL24" s="320"/>
      <c r="AM24" s="320"/>
      <c r="AN24" s="321" t="e">
        <f t="shared" ref="AN24" si="8">IF(V24-AE24&lt;0,0,V24-AE24)</f>
        <v>#N/A</v>
      </c>
      <c r="AO24" s="321"/>
      <c r="AP24" s="321"/>
      <c r="AQ24" s="321"/>
      <c r="AR24" s="321"/>
      <c r="AS24" s="321"/>
      <c r="AT24" s="321"/>
    </row>
    <row r="25" spans="1:46" ht="15" customHeight="1" x14ac:dyDescent="0.25">
      <c r="A25" s="85"/>
      <c r="B25" s="85"/>
      <c r="C25" s="86"/>
      <c r="D25" s="86"/>
      <c r="E25" s="86"/>
      <c r="F25" s="87"/>
      <c r="G25" s="87"/>
      <c r="H25" s="87"/>
      <c r="I25" s="87"/>
      <c r="J25" s="87"/>
      <c r="K25" s="87"/>
      <c r="L25" s="86"/>
      <c r="M25" s="86"/>
      <c r="N25" s="86"/>
      <c r="O25" s="86"/>
      <c r="P25" s="86"/>
      <c r="Q25" s="86"/>
      <c r="R25" s="85"/>
      <c r="S25" s="85"/>
      <c r="T25" s="85"/>
      <c r="U25" s="85"/>
      <c r="V25" s="86"/>
      <c r="W25" s="85"/>
      <c r="X25" s="85"/>
      <c r="Y25" s="85"/>
      <c r="Z25" s="85"/>
      <c r="AA25" s="86"/>
      <c r="AB25" s="86"/>
      <c r="AC25" s="86"/>
      <c r="AD25" s="86"/>
      <c r="AE25" s="86"/>
      <c r="AF25" s="86"/>
      <c r="AG25" s="86"/>
      <c r="AH25" s="86"/>
      <c r="AI25" s="86"/>
      <c r="AJ25" s="86"/>
      <c r="AK25" s="86"/>
      <c r="AL25" s="86"/>
      <c r="AM25" s="86"/>
      <c r="AN25" s="86"/>
      <c r="AO25" s="86"/>
      <c r="AP25" s="86"/>
    </row>
    <row r="26" spans="1:46" ht="15" customHeight="1" x14ac:dyDescent="0.25">
      <c r="A26" s="332" t="s">
        <v>249</v>
      </c>
      <c r="B26" s="332"/>
      <c r="C26" s="332"/>
      <c r="D26" s="332"/>
      <c r="E26" s="332"/>
      <c r="F26" s="332"/>
      <c r="G26" s="332"/>
      <c r="H26" s="332"/>
      <c r="I26" s="332"/>
      <c r="J26" s="332"/>
      <c r="K26" s="332"/>
      <c r="L26" s="332"/>
      <c r="M26" s="332"/>
      <c r="N26" s="332"/>
      <c r="O26" s="332"/>
      <c r="P26" s="332"/>
      <c r="Q26" s="332"/>
      <c r="R26" s="332"/>
      <c r="S26" s="332"/>
      <c r="T26" s="332"/>
      <c r="U26" s="332"/>
      <c r="V26" s="332"/>
      <c r="W26" s="332"/>
      <c r="X26" s="332"/>
      <c r="Y26" s="332"/>
      <c r="Z26" s="332"/>
      <c r="AA26" s="332"/>
      <c r="AB26" s="332"/>
      <c r="AC26" s="332"/>
      <c r="AD26" s="332"/>
      <c r="AE26" s="332"/>
      <c r="AF26" s="332"/>
      <c r="AG26" s="332"/>
      <c r="AH26" s="332"/>
      <c r="AI26" s="332"/>
      <c r="AJ26" s="332"/>
      <c r="AK26" s="332"/>
      <c r="AL26" s="332"/>
      <c r="AM26" s="332"/>
      <c r="AN26" s="332"/>
      <c r="AO26" s="332"/>
      <c r="AP26" s="332"/>
      <c r="AQ26" s="332"/>
      <c r="AR26" s="332"/>
      <c r="AS26" s="332"/>
      <c r="AT26" s="332"/>
    </row>
    <row r="27" spans="1:46" ht="15" customHeight="1" x14ac:dyDescent="0.25">
      <c r="A27" s="332"/>
      <c r="B27" s="332"/>
      <c r="C27" s="332"/>
      <c r="D27" s="332"/>
      <c r="E27" s="332"/>
      <c r="F27" s="332"/>
      <c r="G27" s="332"/>
      <c r="H27" s="332"/>
      <c r="I27" s="332"/>
      <c r="J27" s="332"/>
      <c r="K27" s="332"/>
      <c r="L27" s="332"/>
      <c r="M27" s="332"/>
      <c r="N27" s="332"/>
      <c r="O27" s="332"/>
      <c r="P27" s="332"/>
      <c r="Q27" s="332"/>
      <c r="R27" s="332"/>
      <c r="S27" s="332"/>
      <c r="T27" s="332"/>
      <c r="U27" s="332"/>
      <c r="V27" s="332"/>
      <c r="W27" s="332"/>
      <c r="X27" s="332"/>
      <c r="Y27" s="332"/>
      <c r="Z27" s="332"/>
      <c r="AA27" s="332"/>
      <c r="AB27" s="332"/>
      <c r="AC27" s="332"/>
      <c r="AD27" s="332"/>
      <c r="AE27" s="332"/>
      <c r="AF27" s="332"/>
      <c r="AG27" s="332"/>
      <c r="AH27" s="332"/>
      <c r="AI27" s="332"/>
      <c r="AJ27" s="332"/>
      <c r="AK27" s="332"/>
      <c r="AL27" s="332"/>
      <c r="AM27" s="332"/>
      <c r="AN27" s="332"/>
      <c r="AO27" s="332"/>
      <c r="AP27" s="332"/>
      <c r="AQ27" s="332"/>
      <c r="AR27" s="332"/>
      <c r="AS27" s="332"/>
      <c r="AT27" s="332"/>
    </row>
    <row r="28" spans="1:46" ht="15" customHeight="1" x14ac:dyDescent="0.25">
      <c r="A28" s="85"/>
      <c r="B28" s="85"/>
      <c r="C28" s="86"/>
      <c r="D28" s="86"/>
      <c r="E28" s="86"/>
      <c r="F28" s="87"/>
      <c r="G28" s="87"/>
      <c r="H28" s="87"/>
      <c r="I28" s="87"/>
      <c r="J28" s="87"/>
      <c r="K28" s="87"/>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row>
    <row r="29" spans="1:46" ht="15" customHeight="1" x14ac:dyDescent="0.25">
      <c r="A29" s="333" t="s">
        <v>251</v>
      </c>
      <c r="B29" s="333"/>
      <c r="C29" s="333"/>
      <c r="D29" s="333"/>
      <c r="E29" s="333"/>
      <c r="F29" s="333"/>
      <c r="G29" s="333"/>
      <c r="H29" s="333"/>
      <c r="I29" s="333"/>
      <c r="J29" s="333"/>
      <c r="K29" s="333"/>
      <c r="L29" s="333"/>
      <c r="M29" s="333"/>
      <c r="N29" s="333"/>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333"/>
      <c r="AL29" s="333"/>
      <c r="AM29" s="333"/>
      <c r="AN29" s="333"/>
      <c r="AO29" s="333"/>
      <c r="AP29" s="333"/>
      <c r="AQ29" s="333"/>
      <c r="AR29" s="333"/>
      <c r="AS29" s="333"/>
      <c r="AT29" s="333"/>
    </row>
    <row r="30" spans="1:46" ht="15" customHeight="1" x14ac:dyDescent="0.25">
      <c r="A30" s="333"/>
      <c r="B30" s="333"/>
      <c r="C30" s="333"/>
      <c r="D30" s="333"/>
      <c r="E30" s="333"/>
      <c r="F30" s="333"/>
      <c r="G30" s="333"/>
      <c r="H30" s="333"/>
      <c r="I30" s="333"/>
      <c r="J30" s="333"/>
      <c r="K30" s="333"/>
      <c r="L30" s="333"/>
      <c r="M30" s="333"/>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333"/>
      <c r="AL30" s="333"/>
      <c r="AM30" s="333"/>
      <c r="AN30" s="333"/>
      <c r="AO30" s="333"/>
      <c r="AP30" s="333"/>
      <c r="AQ30" s="333"/>
      <c r="AR30" s="333"/>
      <c r="AS30" s="333"/>
      <c r="AT30" s="333"/>
    </row>
    <row r="31" spans="1:46" ht="15" customHeight="1" x14ac:dyDescent="0.25">
      <c r="A31" s="170"/>
      <c r="B31" s="170"/>
      <c r="C31" s="330"/>
      <c r="D31" s="330"/>
      <c r="E31" s="330"/>
      <c r="F31" s="331"/>
      <c r="G31" s="331"/>
      <c r="H31" s="331"/>
      <c r="I31" s="331"/>
      <c r="J31" s="331"/>
      <c r="K31" s="331"/>
      <c r="L31" s="330"/>
      <c r="M31" s="330"/>
      <c r="N31" s="330"/>
      <c r="O31" s="330"/>
      <c r="P31" s="330"/>
      <c r="Q31" s="86"/>
      <c r="R31" s="86"/>
      <c r="S31" s="86"/>
      <c r="T31" s="86"/>
      <c r="U31" s="86"/>
      <c r="V31" s="330"/>
      <c r="W31" s="330"/>
      <c r="X31" s="330"/>
      <c r="Y31" s="330"/>
      <c r="Z31" s="330"/>
      <c r="AA31" s="330"/>
      <c r="AB31" s="330"/>
      <c r="AC31" s="330"/>
      <c r="AD31" s="330"/>
      <c r="AE31" s="330"/>
      <c r="AF31" s="330"/>
      <c r="AG31" s="330"/>
      <c r="AH31" s="330"/>
      <c r="AI31" s="330"/>
      <c r="AJ31" s="330"/>
      <c r="AK31" s="330"/>
      <c r="AL31" s="330"/>
    </row>
  </sheetData>
  <sheetProtection algorithmName="SHA-512" hashValue="KtgtWsjOe+uAWqlok8+/ViHZIzoiLLMe2J4JsP7Fh+4MffLbicdaby1CYRhHSbnAhu5AQrcMLnuIIf2epkp99Q==" saltValue="8zPVYgrw13G2/GgyfJndiA==" spinCount="100000" sheet="1" objects="1" scenarios="1"/>
  <mergeCells count="173">
    <mergeCell ref="AN22:AT22"/>
    <mergeCell ref="AN23:AT23"/>
    <mergeCell ref="A26:AT27"/>
    <mergeCell ref="A29:AT30"/>
    <mergeCell ref="V22:Z22"/>
    <mergeCell ref="V23:Z23"/>
    <mergeCell ref="I6:M6"/>
    <mergeCell ref="AJ9:AM9"/>
    <mergeCell ref="AJ10:AM10"/>
    <mergeCell ref="AJ11:AM11"/>
    <mergeCell ref="AJ12:AM12"/>
    <mergeCell ref="AJ13:AM13"/>
    <mergeCell ref="AJ14:AM14"/>
    <mergeCell ref="AJ15:AM15"/>
    <mergeCell ref="AJ16:AM16"/>
    <mergeCell ref="AJ17:AM17"/>
    <mergeCell ref="AJ18:AM18"/>
    <mergeCell ref="AJ19:AM19"/>
    <mergeCell ref="AJ20:AM20"/>
    <mergeCell ref="AJ21:AM21"/>
    <mergeCell ref="AJ22:AM22"/>
    <mergeCell ref="AJ23:AM23"/>
    <mergeCell ref="AN9:AT9"/>
    <mergeCell ref="A21:B21"/>
    <mergeCell ref="A31:B31"/>
    <mergeCell ref="C31:E31"/>
    <mergeCell ref="F31:K31"/>
    <mergeCell ref="L31:P31"/>
    <mergeCell ref="V31:Y31"/>
    <mergeCell ref="Z31:AD31"/>
    <mergeCell ref="AE31:AL31"/>
    <mergeCell ref="A22:B22"/>
    <mergeCell ref="C22:E22"/>
    <mergeCell ref="F22:K22"/>
    <mergeCell ref="L22:P22"/>
    <mergeCell ref="AA22:AD22"/>
    <mergeCell ref="AE22:AI22"/>
    <mergeCell ref="A23:B23"/>
    <mergeCell ref="C23:E23"/>
    <mergeCell ref="F23:K23"/>
    <mergeCell ref="L23:P23"/>
    <mergeCell ref="AA23:AD23"/>
    <mergeCell ref="AE23:AI23"/>
    <mergeCell ref="Q22:U22"/>
    <mergeCell ref="Q23:U23"/>
    <mergeCell ref="A24:B24"/>
    <mergeCell ref="C24:E24"/>
    <mergeCell ref="F24:K24"/>
    <mergeCell ref="AE21:AI21"/>
    <mergeCell ref="A20:B20"/>
    <mergeCell ref="C20:E20"/>
    <mergeCell ref="F20:K20"/>
    <mergeCell ref="L20:P20"/>
    <mergeCell ref="AA20:AD20"/>
    <mergeCell ref="AE20:AI20"/>
    <mergeCell ref="Q20:U20"/>
    <mergeCell ref="Q21:U21"/>
    <mergeCell ref="V20:Z20"/>
    <mergeCell ref="V21:Z21"/>
    <mergeCell ref="AN20:AT20"/>
    <mergeCell ref="AN21:AT21"/>
    <mergeCell ref="A19:B19"/>
    <mergeCell ref="C19:E19"/>
    <mergeCell ref="F19:K19"/>
    <mergeCell ref="L19:P19"/>
    <mergeCell ref="AA19:AD19"/>
    <mergeCell ref="AE19:AI19"/>
    <mergeCell ref="A18:B18"/>
    <mergeCell ref="C18:E18"/>
    <mergeCell ref="F18:K18"/>
    <mergeCell ref="L18:P18"/>
    <mergeCell ref="AA18:AD18"/>
    <mergeCell ref="AE18:AI18"/>
    <mergeCell ref="Q18:U18"/>
    <mergeCell ref="Q19:U19"/>
    <mergeCell ref="V18:Z18"/>
    <mergeCell ref="V19:Z19"/>
    <mergeCell ref="AN18:AT18"/>
    <mergeCell ref="AN19:AT19"/>
    <mergeCell ref="C21:E21"/>
    <mergeCell ref="F21:K21"/>
    <mergeCell ref="L21:P21"/>
    <mergeCell ref="AA21:AD21"/>
    <mergeCell ref="AN14:AT14"/>
    <mergeCell ref="AN15:AT15"/>
    <mergeCell ref="A17:B17"/>
    <mergeCell ref="C17:E17"/>
    <mergeCell ref="F17:K17"/>
    <mergeCell ref="L17:P17"/>
    <mergeCell ref="AA17:AD17"/>
    <mergeCell ref="AE17:AI17"/>
    <mergeCell ref="A16:B16"/>
    <mergeCell ref="C16:E16"/>
    <mergeCell ref="F16:K16"/>
    <mergeCell ref="L16:P16"/>
    <mergeCell ref="AA16:AD16"/>
    <mergeCell ref="AE16:AI16"/>
    <mergeCell ref="Q16:U16"/>
    <mergeCell ref="Q17:U17"/>
    <mergeCell ref="V16:Z16"/>
    <mergeCell ref="V17:Z17"/>
    <mergeCell ref="AA10:AD10"/>
    <mergeCell ref="AE10:AI10"/>
    <mergeCell ref="A11:B11"/>
    <mergeCell ref="C11:E11"/>
    <mergeCell ref="F11:K11"/>
    <mergeCell ref="L11:P11"/>
    <mergeCell ref="AN16:AT16"/>
    <mergeCell ref="AN17:AT17"/>
    <mergeCell ref="A15:B15"/>
    <mergeCell ref="C15:E15"/>
    <mergeCell ref="F15:K15"/>
    <mergeCell ref="L15:P15"/>
    <mergeCell ref="AA15:AD15"/>
    <mergeCell ref="AE15:AI15"/>
    <mergeCell ref="A14:B14"/>
    <mergeCell ref="C14:E14"/>
    <mergeCell ref="F14:K14"/>
    <mergeCell ref="L14:P14"/>
    <mergeCell ref="AA14:AD14"/>
    <mergeCell ref="AE14:AI14"/>
    <mergeCell ref="Q14:U14"/>
    <mergeCell ref="Q15:U15"/>
    <mergeCell ref="V14:Z14"/>
    <mergeCell ref="V15:Z15"/>
    <mergeCell ref="V11:Z11"/>
    <mergeCell ref="L24:P24"/>
    <mergeCell ref="Q24:U24"/>
    <mergeCell ref="V24:Z24"/>
    <mergeCell ref="AA24:AD24"/>
    <mergeCell ref="AE24:AI24"/>
    <mergeCell ref="AN10:AT10"/>
    <mergeCell ref="AN11:AT11"/>
    <mergeCell ref="A13:B13"/>
    <mergeCell ref="C13:E13"/>
    <mergeCell ref="F13:K13"/>
    <mergeCell ref="L13:P13"/>
    <mergeCell ref="AA13:AD13"/>
    <mergeCell ref="AE13:AI13"/>
    <mergeCell ref="A12:B12"/>
    <mergeCell ref="C12:E12"/>
    <mergeCell ref="F12:K12"/>
    <mergeCell ref="L12:P12"/>
    <mergeCell ref="AA12:AD12"/>
    <mergeCell ref="AE12:AI12"/>
    <mergeCell ref="Q12:U12"/>
    <mergeCell ref="Q13:U13"/>
    <mergeCell ref="V12:Z12"/>
    <mergeCell ref="V13:Z13"/>
    <mergeCell ref="AJ24:AM24"/>
    <mergeCell ref="AN24:AT24"/>
    <mergeCell ref="A1:F1"/>
    <mergeCell ref="V1:AA1"/>
    <mergeCell ref="AQ1:AV1"/>
    <mergeCell ref="I5:M5"/>
    <mergeCell ref="I7:M7"/>
    <mergeCell ref="A9:E9"/>
    <mergeCell ref="F9:K9"/>
    <mergeCell ref="L9:P9"/>
    <mergeCell ref="AA9:AI9"/>
    <mergeCell ref="Q9:U9"/>
    <mergeCell ref="V9:Z9"/>
    <mergeCell ref="AN12:AT12"/>
    <mergeCell ref="AN13:AT13"/>
    <mergeCell ref="A10:B10"/>
    <mergeCell ref="C10:E10"/>
    <mergeCell ref="F10:K10"/>
    <mergeCell ref="L10:P10"/>
    <mergeCell ref="AA11:AD11"/>
    <mergeCell ref="AE11:AI11"/>
    <mergeCell ref="Q10:U10"/>
    <mergeCell ref="Q11:U11"/>
    <mergeCell ref="V10:Z10"/>
  </mergeCells>
  <conditionalFormatting sqref="AJ11:AM24">
    <cfRule type="cellIs" dxfId="10" priority="1" operator="equal">
      <formula>TRUE</formula>
    </cfRule>
  </conditionalFormatting>
  <hyperlinks>
    <hyperlink ref="A1:F1" location="'10'!A1" display="10 ◀"/>
    <hyperlink ref="V1:AA1" location="INDEX!A1" display="🏠 INDEX"/>
    <hyperlink ref="AR1:AV1" location="'11'!A1" display="▶ 11"/>
    <hyperlink ref="AQ1:AV1" location="'12'!A1" display="▶ 12"/>
  </hyperlinks>
  <pageMargins left="0.7" right="0.7" top="0.78740157499999996" bottom="0.78740157499999996" header="0.3" footer="0.3"/>
  <pageSetup paperSize="9" orientation="landscape" horizontalDpi="90" verticalDpi="90" r:id="rId1"/>
  <headerFooter>
    <oddHeader>&amp;L&amp;"-,Standard"11 - Beckenvolumen zentrale Versickerung</oddHeader>
  </headerFooter>
  <extLst>
    <ext xmlns:x14="http://schemas.microsoft.com/office/spreadsheetml/2009/9/main" uri="{78C0D931-6437-407d-A8EE-F0AAD7539E65}">
      <x14:conditionalFormattings>
        <x14:conditionalFormatting xmlns:xm="http://schemas.microsoft.com/office/excel/2006/main">
          <x14:cfRule type="expression" priority="3" id="{038A49C6-C2F9-4D06-9A3C-26B654158375}">
            <xm:f>Berechnungstool!$I$13&gt;0.25</xm:f>
            <x14:dxf>
              <fill>
                <patternFill patternType="gray0625"/>
              </fill>
            </x14:dxf>
          </x14:cfRule>
          <xm:sqref>A14:AN14</xm:sqref>
        </x14:conditionalFormatting>
        <x14:conditionalFormatting xmlns:xm="http://schemas.microsoft.com/office/excel/2006/main">
          <x14:cfRule type="expression" priority="2" id="{5932A51E-52BF-4B36-BD13-BE4566CC6B1F}">
            <xm:f>Berechnungstool!$I$13&gt;0.34</xm:f>
            <x14:dxf>
              <fill>
                <patternFill patternType="gray0625"/>
              </fill>
            </x14:dxf>
          </x14:cfRule>
          <xm:sqref>A15:AN15</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F56"/>
  <sheetViews>
    <sheetView view="pageLayout" zoomScaleNormal="100" workbookViewId="0">
      <selection activeCell="AA1" sqref="AA1:AF1"/>
    </sheetView>
  </sheetViews>
  <sheetFormatPr baseColWidth="10" defaultColWidth="0" defaultRowHeight="0" customHeight="1" zeroHeight="1" x14ac:dyDescent="0.25"/>
  <cols>
    <col min="1" max="32" width="2.375" style="1" customWidth="1"/>
    <col min="33" max="16384" width="11" style="1" hidden="1"/>
  </cols>
  <sheetData>
    <row r="1" spans="1:32" ht="15" customHeight="1" x14ac:dyDescent="0.25">
      <c r="A1" s="282" t="s">
        <v>237</v>
      </c>
      <c r="B1" s="282"/>
      <c r="C1" s="282"/>
      <c r="D1" s="282"/>
      <c r="E1" s="282"/>
      <c r="F1" s="282"/>
      <c r="G1" s="2"/>
      <c r="H1" s="2"/>
      <c r="I1" s="2"/>
      <c r="J1" s="2"/>
      <c r="K1" s="2"/>
      <c r="L1" s="2"/>
      <c r="M1" s="2"/>
      <c r="N1" s="282" t="s">
        <v>170</v>
      </c>
      <c r="O1" s="282"/>
      <c r="P1" s="282"/>
      <c r="Q1" s="282"/>
      <c r="R1" s="282"/>
      <c r="S1" s="282"/>
      <c r="T1" s="2"/>
      <c r="U1" s="2"/>
      <c r="V1" s="2"/>
      <c r="W1" s="2"/>
      <c r="X1" s="2"/>
      <c r="Y1" s="2"/>
      <c r="Z1" s="2"/>
      <c r="AA1" s="282" t="s">
        <v>238</v>
      </c>
      <c r="AB1" s="282"/>
      <c r="AC1" s="282"/>
      <c r="AD1" s="282"/>
      <c r="AE1" s="282"/>
      <c r="AF1" s="282"/>
    </row>
    <row r="2" spans="1:32" ht="15" customHeight="1" x14ac:dyDescent="0.25"/>
    <row r="3" spans="1:32" ht="15" customHeight="1" x14ac:dyDescent="0.25">
      <c r="A3" s="1" t="s">
        <v>7</v>
      </c>
      <c r="I3" s="49" t="s">
        <v>80</v>
      </c>
    </row>
    <row r="4" spans="1:32" ht="15" customHeight="1" x14ac:dyDescent="0.25"/>
    <row r="5" spans="1:32" ht="15" customHeight="1" x14ac:dyDescent="0.25">
      <c r="A5" s="304" t="s">
        <v>99</v>
      </c>
      <c r="B5" s="304"/>
      <c r="C5" s="304"/>
      <c r="D5" s="304"/>
      <c r="E5" s="304"/>
      <c r="F5" s="304"/>
      <c r="G5" s="304" t="s">
        <v>102</v>
      </c>
      <c r="H5" s="304"/>
      <c r="I5" s="304"/>
      <c r="J5" s="304"/>
      <c r="K5" s="304"/>
      <c r="L5" s="304"/>
      <c r="M5" s="304"/>
      <c r="N5" s="304" t="s">
        <v>12</v>
      </c>
      <c r="O5" s="304"/>
      <c r="P5" s="304"/>
      <c r="Q5" s="304"/>
      <c r="R5" s="304" t="s">
        <v>101</v>
      </c>
      <c r="S5" s="304"/>
      <c r="T5" s="304"/>
      <c r="U5" s="304"/>
      <c r="V5" s="304"/>
      <c r="W5" s="304"/>
      <c r="Y5" s="1" t="s">
        <v>118</v>
      </c>
    </row>
    <row r="6" spans="1:32" ht="15" customHeight="1" x14ac:dyDescent="0.25">
      <c r="A6" s="304" t="s">
        <v>15</v>
      </c>
      <c r="B6" s="304"/>
      <c r="C6" s="304"/>
      <c r="D6" s="304"/>
      <c r="E6" s="304"/>
      <c r="F6" s="304"/>
      <c r="G6" s="304" t="s">
        <v>15</v>
      </c>
      <c r="H6" s="304"/>
      <c r="I6" s="304"/>
      <c r="J6" s="304"/>
      <c r="K6" s="304"/>
      <c r="L6" s="304"/>
      <c r="M6" s="304"/>
      <c r="N6" s="304" t="s">
        <v>15</v>
      </c>
      <c r="O6" s="304"/>
      <c r="P6" s="304"/>
      <c r="Q6" s="304"/>
      <c r="R6" s="304" t="s">
        <v>15</v>
      </c>
      <c r="S6" s="304"/>
      <c r="T6" s="304"/>
      <c r="U6" s="304"/>
      <c r="V6" s="304"/>
      <c r="W6" s="304"/>
    </row>
    <row r="7" spans="1:32" ht="15" customHeight="1" x14ac:dyDescent="0.25">
      <c r="A7" s="254" t="s">
        <v>109</v>
      </c>
      <c r="B7" s="254"/>
      <c r="C7" s="254"/>
      <c r="D7" s="254"/>
      <c r="E7" s="254"/>
      <c r="F7" s="254"/>
      <c r="G7" s="209"/>
      <c r="H7" s="209"/>
      <c r="I7" s="209"/>
      <c r="J7" s="209"/>
      <c r="K7" s="209"/>
      <c r="L7" s="209"/>
      <c r="M7" s="209"/>
      <c r="N7" s="254" t="b">
        <f>IF(Berechnungstool!$I$49&gt;=1,TRUE,FALSE)</f>
        <v>1</v>
      </c>
      <c r="O7" s="254"/>
      <c r="P7" s="254"/>
      <c r="Q7" s="254"/>
      <c r="R7" s="281">
        <v>1</v>
      </c>
      <c r="S7" s="281"/>
      <c r="T7" s="281"/>
      <c r="U7" s="281"/>
      <c r="V7" s="281"/>
      <c r="W7" s="281"/>
      <c r="Y7" s="51"/>
      <c r="Z7" s="51"/>
    </row>
    <row r="8" spans="1:32" ht="15" customHeight="1" x14ac:dyDescent="0.25">
      <c r="A8" s="254" t="s">
        <v>108</v>
      </c>
      <c r="B8" s="254"/>
      <c r="C8" s="254"/>
      <c r="D8" s="254"/>
      <c r="E8" s="254"/>
      <c r="F8" s="254"/>
      <c r="G8" s="209" t="s">
        <v>104</v>
      </c>
      <c r="H8" s="209"/>
      <c r="I8" s="209"/>
      <c r="J8" s="209"/>
      <c r="K8" s="209"/>
      <c r="L8" s="209"/>
      <c r="M8" s="209"/>
      <c r="N8" s="254" t="b">
        <f>AND(Berechnungstool!$I$49&lt;1,Berechnungstool!$I$48=G8)</f>
        <v>0</v>
      </c>
      <c r="O8" s="254"/>
      <c r="P8" s="254"/>
      <c r="Q8" s="254"/>
      <c r="R8" s="281">
        <v>0.5</v>
      </c>
      <c r="S8" s="281"/>
      <c r="T8" s="281"/>
      <c r="U8" s="281"/>
      <c r="V8" s="281"/>
      <c r="W8" s="281"/>
      <c r="Y8" s="51"/>
      <c r="Z8" s="51"/>
    </row>
    <row r="9" spans="1:32" ht="15" customHeight="1" x14ac:dyDescent="0.25">
      <c r="A9" s="254" t="s">
        <v>108</v>
      </c>
      <c r="B9" s="254"/>
      <c r="C9" s="254"/>
      <c r="D9" s="254"/>
      <c r="E9" s="254"/>
      <c r="F9" s="254"/>
      <c r="G9" s="209" t="s">
        <v>105</v>
      </c>
      <c r="H9" s="209"/>
      <c r="I9" s="209"/>
      <c r="J9" s="209"/>
      <c r="K9" s="209"/>
      <c r="L9" s="209"/>
      <c r="M9" s="209"/>
      <c r="N9" s="254" t="b">
        <f>AND(Berechnungstool!$I$49&lt;1,Berechnungstool!$I$48=G9)</f>
        <v>0</v>
      </c>
      <c r="O9" s="254"/>
      <c r="P9" s="254"/>
      <c r="Q9" s="254"/>
      <c r="R9" s="281">
        <v>1</v>
      </c>
      <c r="S9" s="281"/>
      <c r="T9" s="281"/>
      <c r="U9" s="281"/>
      <c r="V9" s="281"/>
      <c r="W9" s="281"/>
      <c r="Y9" s="51"/>
      <c r="Z9" s="51"/>
    </row>
    <row r="10" spans="1:32" ht="15" customHeight="1" x14ac:dyDescent="0.25">
      <c r="A10" s="254" t="s">
        <v>108</v>
      </c>
      <c r="B10" s="254"/>
      <c r="C10" s="254"/>
      <c r="D10" s="254"/>
      <c r="E10" s="254"/>
      <c r="F10" s="254"/>
      <c r="G10" s="209" t="s">
        <v>106</v>
      </c>
      <c r="H10" s="209"/>
      <c r="I10" s="209"/>
      <c r="J10" s="209"/>
      <c r="K10" s="209"/>
      <c r="L10" s="209"/>
      <c r="M10" s="209"/>
      <c r="N10" s="254" t="b">
        <f>AND(Berechnungstool!$I$49&lt;1,Berechnungstool!$I$48=G10)</f>
        <v>0</v>
      </c>
      <c r="O10" s="254"/>
      <c r="P10" s="254"/>
      <c r="Q10" s="254"/>
      <c r="R10" s="281">
        <v>1.5</v>
      </c>
      <c r="S10" s="281"/>
      <c r="T10" s="281"/>
      <c r="U10" s="281"/>
      <c r="V10" s="281"/>
      <c r="W10" s="281"/>
      <c r="Y10" s="51"/>
      <c r="Z10" s="51"/>
    </row>
    <row r="11" spans="1:32" ht="15" customHeight="1" x14ac:dyDescent="0.25">
      <c r="A11" s="254" t="s">
        <v>108</v>
      </c>
      <c r="B11" s="254"/>
      <c r="C11" s="254"/>
      <c r="D11" s="254"/>
      <c r="E11" s="254"/>
      <c r="F11" s="254"/>
      <c r="G11" s="209" t="s">
        <v>107</v>
      </c>
      <c r="H11" s="209"/>
      <c r="I11" s="209"/>
      <c r="J11" s="209"/>
      <c r="K11" s="209"/>
      <c r="L11" s="209"/>
      <c r="M11" s="209"/>
      <c r="N11" s="254" t="b">
        <f>AND(Berechnungstool!$I$49&lt;1,Berechnungstool!$I$48=G11)</f>
        <v>0</v>
      </c>
      <c r="O11" s="254"/>
      <c r="P11" s="254"/>
      <c r="Q11" s="254"/>
      <c r="R11" s="281">
        <v>2</v>
      </c>
      <c r="S11" s="281"/>
      <c r="T11" s="281"/>
      <c r="U11" s="281"/>
      <c r="V11" s="281"/>
      <c r="W11" s="281"/>
      <c r="Y11" s="51"/>
      <c r="Z11" s="51"/>
    </row>
    <row r="12" spans="1:32" ht="15" customHeight="1" x14ac:dyDescent="0.25">
      <c r="A12" s="52"/>
      <c r="B12" s="52"/>
      <c r="C12" s="52"/>
      <c r="D12" s="52"/>
      <c r="E12" s="52"/>
      <c r="F12" s="52"/>
      <c r="G12" s="52"/>
      <c r="H12" s="52"/>
      <c r="I12" s="52"/>
      <c r="J12" s="52"/>
      <c r="K12" s="52"/>
      <c r="L12" s="52"/>
      <c r="M12" s="52"/>
      <c r="N12" s="52"/>
      <c r="O12" s="52"/>
      <c r="P12" s="52"/>
      <c r="Q12" s="52"/>
      <c r="R12" s="52"/>
      <c r="S12" s="52"/>
      <c r="T12" s="52"/>
      <c r="U12" s="52"/>
      <c r="V12" s="52"/>
      <c r="W12" s="52"/>
      <c r="Y12" s="51"/>
      <c r="Z12" s="51"/>
    </row>
    <row r="13" spans="1:32" ht="15" customHeight="1" x14ac:dyDescent="0.25">
      <c r="A13" s="304" t="s">
        <v>99</v>
      </c>
      <c r="B13" s="304"/>
      <c r="C13" s="304"/>
      <c r="D13" s="304"/>
      <c r="E13" s="304"/>
      <c r="F13" s="304"/>
      <c r="G13" s="304" t="s">
        <v>92</v>
      </c>
      <c r="H13" s="304"/>
      <c r="I13" s="304"/>
      <c r="J13" s="304"/>
      <c r="K13" s="304"/>
      <c r="L13" s="304"/>
      <c r="M13" s="304"/>
      <c r="N13" s="304" t="s">
        <v>12</v>
      </c>
      <c r="O13" s="304"/>
      <c r="P13" s="304"/>
      <c r="Q13" s="304"/>
      <c r="R13" s="304" t="s">
        <v>100</v>
      </c>
      <c r="S13" s="304"/>
      <c r="T13" s="304"/>
      <c r="U13" s="304"/>
      <c r="V13" s="304"/>
      <c r="W13" s="304"/>
      <c r="Y13" s="1" t="s">
        <v>118</v>
      </c>
      <c r="Z13" s="51"/>
    </row>
    <row r="14" spans="1:32" ht="15" customHeight="1" x14ac:dyDescent="0.25">
      <c r="A14" s="304" t="s">
        <v>15</v>
      </c>
      <c r="B14" s="304"/>
      <c r="C14" s="304"/>
      <c r="D14" s="304"/>
      <c r="E14" s="304"/>
      <c r="F14" s="304"/>
      <c r="G14" s="304" t="s">
        <v>56</v>
      </c>
      <c r="H14" s="304"/>
      <c r="I14" s="304"/>
      <c r="J14" s="304"/>
      <c r="K14" s="304"/>
      <c r="L14" s="304"/>
      <c r="M14" s="304"/>
      <c r="N14" s="304" t="s">
        <v>15</v>
      </c>
      <c r="O14" s="304"/>
      <c r="P14" s="304"/>
      <c r="Q14" s="304"/>
      <c r="R14" s="304" t="s">
        <v>15</v>
      </c>
      <c r="S14" s="304"/>
      <c r="T14" s="304"/>
      <c r="U14" s="304"/>
      <c r="V14" s="304"/>
      <c r="W14" s="304"/>
      <c r="Y14" s="51"/>
      <c r="Z14" s="51"/>
    </row>
    <row r="15" spans="1:32" ht="15" customHeight="1" x14ac:dyDescent="0.25">
      <c r="A15" s="254" t="s">
        <v>109</v>
      </c>
      <c r="B15" s="254"/>
      <c r="C15" s="254"/>
      <c r="D15" s="254"/>
      <c r="E15" s="254"/>
      <c r="F15" s="254"/>
      <c r="G15" s="256"/>
      <c r="H15" s="257"/>
      <c r="I15" s="257"/>
      <c r="J15" s="257"/>
      <c r="K15" s="257"/>
      <c r="L15" s="257"/>
      <c r="M15" s="258"/>
      <c r="N15" s="254" t="b">
        <f>IF(Berechnungstool!$I$49&gt;=1,TRUE,FALSE)</f>
        <v>1</v>
      </c>
      <c r="O15" s="254"/>
      <c r="P15" s="254"/>
      <c r="Q15" s="254"/>
      <c r="R15" s="281">
        <v>1</v>
      </c>
      <c r="S15" s="281"/>
      <c r="T15" s="281"/>
      <c r="U15" s="281"/>
      <c r="V15" s="281"/>
      <c r="W15" s="281"/>
      <c r="Y15" s="51"/>
      <c r="Z15" s="51"/>
    </row>
    <row r="16" spans="1:32" ht="15" customHeight="1" x14ac:dyDescent="0.25">
      <c r="A16" s="254" t="s">
        <v>108</v>
      </c>
      <c r="B16" s="254"/>
      <c r="C16" s="254"/>
      <c r="D16" s="254"/>
      <c r="E16" s="254"/>
      <c r="F16" s="254"/>
      <c r="G16" s="256" t="s">
        <v>270</v>
      </c>
      <c r="H16" s="257"/>
      <c r="I16" s="257"/>
      <c r="J16" s="257"/>
      <c r="K16" s="257"/>
      <c r="L16" s="257"/>
      <c r="M16" s="258"/>
      <c r="N16" s="254" t="b">
        <f>AND(Berechnungstool!$I$49&lt;1,Berechnungstool!$I$47&lt;100)</f>
        <v>0</v>
      </c>
      <c r="O16" s="254"/>
      <c r="P16" s="254"/>
      <c r="Q16" s="254"/>
      <c r="R16" s="281">
        <v>1</v>
      </c>
      <c r="S16" s="281"/>
      <c r="T16" s="281"/>
      <c r="U16" s="281"/>
      <c r="V16" s="281"/>
      <c r="W16" s="281"/>
      <c r="Y16" s="51"/>
      <c r="Z16" s="51"/>
    </row>
    <row r="17" spans="1:26" ht="15" customHeight="1" x14ac:dyDescent="0.25">
      <c r="A17" s="254" t="s">
        <v>108</v>
      </c>
      <c r="B17" s="254"/>
      <c r="C17" s="254"/>
      <c r="D17" s="254"/>
      <c r="E17" s="254"/>
      <c r="F17" s="254"/>
      <c r="G17" s="256" t="s">
        <v>271</v>
      </c>
      <c r="H17" s="257"/>
      <c r="I17" s="257"/>
      <c r="J17" s="257"/>
      <c r="K17" s="257"/>
      <c r="L17" s="257"/>
      <c r="M17" s="258"/>
      <c r="N17" s="254" t="b">
        <f>AND(Berechnungstool!$I$49&lt;1,Berechnungstool!$I$47&gt;=100,Berechnungstool!$I$47&lt;=1000)</f>
        <v>0</v>
      </c>
      <c r="O17" s="254"/>
      <c r="P17" s="254"/>
      <c r="Q17" s="254"/>
      <c r="R17" s="281">
        <v>2</v>
      </c>
      <c r="S17" s="281"/>
      <c r="T17" s="281"/>
      <c r="U17" s="281"/>
      <c r="V17" s="281"/>
      <c r="W17" s="281"/>
      <c r="Y17" s="51"/>
      <c r="Z17" s="51"/>
    </row>
    <row r="18" spans="1:26" ht="15" customHeight="1" x14ac:dyDescent="0.25">
      <c r="A18" s="254" t="s">
        <v>108</v>
      </c>
      <c r="B18" s="254"/>
      <c r="C18" s="254"/>
      <c r="D18" s="254"/>
      <c r="E18" s="254"/>
      <c r="F18" s="254"/>
      <c r="G18" s="256" t="s">
        <v>272</v>
      </c>
      <c r="H18" s="257"/>
      <c r="I18" s="257"/>
      <c r="J18" s="257"/>
      <c r="K18" s="257"/>
      <c r="L18" s="257"/>
      <c r="M18" s="258"/>
      <c r="N18" s="254" t="b">
        <f>AND(Berechnungstool!$I$49&lt;1,Berechnungstool!$I$47&gt;1000)</f>
        <v>0</v>
      </c>
      <c r="O18" s="254"/>
      <c r="P18" s="254"/>
      <c r="Q18" s="254"/>
      <c r="R18" s="281">
        <v>2</v>
      </c>
      <c r="S18" s="281"/>
      <c r="T18" s="281"/>
      <c r="U18" s="281"/>
      <c r="V18" s="281"/>
      <c r="W18" s="281"/>
    </row>
    <row r="19" spans="1:26" ht="15" customHeight="1" x14ac:dyDescent="0.25">
      <c r="A19" s="1" t="s">
        <v>111</v>
      </c>
    </row>
    <row r="20" spans="1:26" ht="15" customHeight="1" x14ac:dyDescent="0.25"/>
    <row r="21" spans="1:26" ht="15" customHeight="1" x14ac:dyDescent="0.25"/>
    <row r="22" spans="1:26" ht="15" customHeight="1" x14ac:dyDescent="0.25"/>
    <row r="23" spans="1:26" ht="15" customHeight="1" x14ac:dyDescent="0.25"/>
    <row r="24" spans="1:26" ht="15" customHeight="1" x14ac:dyDescent="0.25"/>
    <row r="25" spans="1:26" ht="15" customHeight="1" x14ac:dyDescent="0.25"/>
    <row r="26" spans="1:26" ht="15" customHeight="1" x14ac:dyDescent="0.25"/>
    <row r="27" spans="1:26" ht="15" customHeight="1" x14ac:dyDescent="0.25"/>
    <row r="28" spans="1:26" ht="15" customHeight="1" x14ac:dyDescent="0.25"/>
    <row r="29" spans="1:26" ht="15" customHeight="1" x14ac:dyDescent="0.25"/>
    <row r="30" spans="1:26" ht="15" customHeight="1" x14ac:dyDescent="0.25"/>
    <row r="31" spans="1:26" ht="15" customHeight="1" x14ac:dyDescent="0.25"/>
    <row r="32" spans="1:26"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hidden="1" customHeight="1" x14ac:dyDescent="0.25"/>
    <row r="52" ht="15" hidden="1" customHeight="1" x14ac:dyDescent="0.25"/>
    <row r="53" ht="15" hidden="1" customHeight="1" x14ac:dyDescent="0.25"/>
    <row r="54" ht="15" hidden="1" customHeight="1" x14ac:dyDescent="0.25"/>
    <row r="55" ht="15" hidden="1" customHeight="1" x14ac:dyDescent="0.25"/>
    <row r="56" ht="15" hidden="1" customHeight="1" x14ac:dyDescent="0.25"/>
  </sheetData>
  <sheetProtection algorithmName="SHA-512" hashValue="qg5b5f0aCKMksXAke9S8V+hlKJ1C8/Hxv5joVcjkz3hkC3DVOr8YpQmxN7NcmJBMof4W6/uW0xDyhUKJpUZgFg==" saltValue="e6ONL+NGIh6xYiUT+r4S5w==" spinCount="100000" sheet="1" objects="1" scenarios="1"/>
  <mergeCells count="55">
    <mergeCell ref="N8:Q8"/>
    <mergeCell ref="R5:W5"/>
    <mergeCell ref="R6:W6"/>
    <mergeCell ref="R7:W7"/>
    <mergeCell ref="G8:M8"/>
    <mergeCell ref="N6:Q6"/>
    <mergeCell ref="N7:Q7"/>
    <mergeCell ref="R8:W8"/>
    <mergeCell ref="A7:F7"/>
    <mergeCell ref="A5:F5"/>
    <mergeCell ref="A6:F6"/>
    <mergeCell ref="A8:F8"/>
    <mergeCell ref="G6:M6"/>
    <mergeCell ref="G7:M7"/>
    <mergeCell ref="N1:S1"/>
    <mergeCell ref="A1:F1"/>
    <mergeCell ref="AA1:AF1"/>
    <mergeCell ref="G5:M5"/>
    <mergeCell ref="N5:Q5"/>
    <mergeCell ref="A9:F9"/>
    <mergeCell ref="N10:Q10"/>
    <mergeCell ref="A15:F15"/>
    <mergeCell ref="A16:F16"/>
    <mergeCell ref="A17:F17"/>
    <mergeCell ref="N11:Q11"/>
    <mergeCell ref="A10:F10"/>
    <mergeCell ref="A11:F11"/>
    <mergeCell ref="N9:Q9"/>
    <mergeCell ref="G9:M9"/>
    <mergeCell ref="G10:M10"/>
    <mergeCell ref="G11:M11"/>
    <mergeCell ref="A18:F18"/>
    <mergeCell ref="G13:M13"/>
    <mergeCell ref="G14:M14"/>
    <mergeCell ref="G15:M15"/>
    <mergeCell ref="G16:M16"/>
    <mergeCell ref="G17:M17"/>
    <mergeCell ref="A13:F13"/>
    <mergeCell ref="A14:F14"/>
    <mergeCell ref="G18:M18"/>
    <mergeCell ref="R9:W9"/>
    <mergeCell ref="R10:W10"/>
    <mergeCell ref="R11:W11"/>
    <mergeCell ref="R13:W13"/>
    <mergeCell ref="R14:W14"/>
    <mergeCell ref="R15:W15"/>
    <mergeCell ref="R17:W17"/>
    <mergeCell ref="R18:W18"/>
    <mergeCell ref="N13:Q13"/>
    <mergeCell ref="N14:Q14"/>
    <mergeCell ref="N15:Q15"/>
    <mergeCell ref="N16:Q16"/>
    <mergeCell ref="N17:Q17"/>
    <mergeCell ref="N18:Q18"/>
    <mergeCell ref="R16:W16"/>
  </mergeCells>
  <conditionalFormatting sqref="N7:Q11 N15:Q18">
    <cfRule type="cellIs" dxfId="7" priority="1" operator="equal">
      <formula>TRUE</formula>
    </cfRule>
  </conditionalFormatting>
  <hyperlinks>
    <hyperlink ref="N1:S1" location="INDEX!A1" display="🏠 INDEX"/>
    <hyperlink ref="AA1:AF1" location="'13'!A1" display="▶ 13"/>
    <hyperlink ref="A1:F1" location="'11'!A1" display="11 ◀"/>
  </hyperlinks>
  <pageMargins left="0.7" right="0.7" top="0.78740157499999996" bottom="0.78740157499999996" header="0.3" footer="0.3"/>
  <pageSetup paperSize="9" orientation="portrait" horizontalDpi="90" verticalDpi="90" r:id="rId1"/>
  <headerFooter>
    <oddHeader>&amp;L&amp;"-,Standard"12 - Korrekturfaktoren Gewässer</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'1'!$A$17:$A$20</xm:f>
          </x14:formula1>
          <xm:sqref>G7:M11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F52"/>
  <sheetViews>
    <sheetView view="pageLayout" zoomScaleNormal="100" workbookViewId="0">
      <selection activeCell="AA1" sqref="AA1:AF1"/>
    </sheetView>
  </sheetViews>
  <sheetFormatPr baseColWidth="10" defaultColWidth="0" defaultRowHeight="0" customHeight="1" zeroHeight="1" x14ac:dyDescent="0.25"/>
  <cols>
    <col min="1" max="32" width="2.375" style="1" customWidth="1"/>
    <col min="33" max="16384" width="11" style="1" hidden="1"/>
  </cols>
  <sheetData>
    <row r="1" spans="1:32" ht="15" customHeight="1" x14ac:dyDescent="0.25">
      <c r="A1" s="282" t="s">
        <v>239</v>
      </c>
      <c r="B1" s="282"/>
      <c r="C1" s="282"/>
      <c r="D1" s="282"/>
      <c r="E1" s="282"/>
      <c r="F1" s="282"/>
      <c r="G1" s="2"/>
      <c r="H1" s="2"/>
      <c r="I1" s="2"/>
      <c r="J1" s="2"/>
      <c r="K1" s="2"/>
      <c r="L1" s="2"/>
      <c r="M1" s="2"/>
      <c r="N1" s="282" t="s">
        <v>170</v>
      </c>
      <c r="O1" s="282"/>
      <c r="P1" s="282"/>
      <c r="Q1" s="282"/>
      <c r="R1" s="282"/>
      <c r="S1" s="282"/>
      <c r="T1" s="2"/>
      <c r="U1" s="2"/>
      <c r="V1" s="2"/>
      <c r="W1" s="2"/>
      <c r="X1" s="2"/>
      <c r="Y1" s="2"/>
      <c r="Z1" s="2"/>
      <c r="AA1" s="282" t="s">
        <v>280</v>
      </c>
      <c r="AB1" s="282"/>
      <c r="AC1" s="282"/>
      <c r="AD1" s="282"/>
      <c r="AE1" s="282"/>
      <c r="AF1" s="282"/>
    </row>
    <row r="2" spans="1:32" ht="15" customHeight="1" x14ac:dyDescent="0.25"/>
    <row r="3" spans="1:32" ht="15" customHeight="1" x14ac:dyDescent="0.25">
      <c r="A3" s="1" t="s">
        <v>7</v>
      </c>
      <c r="I3" s="49" t="s">
        <v>80</v>
      </c>
    </row>
    <row r="4" spans="1:32" ht="15" customHeight="1" x14ac:dyDescent="0.25"/>
    <row r="5" spans="1:32" ht="15" customHeight="1" x14ac:dyDescent="0.25">
      <c r="A5" s="304" t="s">
        <v>89</v>
      </c>
      <c r="B5" s="304"/>
      <c r="C5" s="304"/>
      <c r="D5" s="304"/>
      <c r="E5" s="304"/>
      <c r="F5" s="304" t="s">
        <v>112</v>
      </c>
      <c r="G5" s="304"/>
      <c r="H5" s="304"/>
      <c r="I5" s="304"/>
      <c r="J5" s="304"/>
      <c r="K5" s="304"/>
      <c r="L5" s="304"/>
      <c r="M5" s="304" t="s">
        <v>19</v>
      </c>
      <c r="N5" s="304"/>
      <c r="O5" s="304"/>
      <c r="P5" s="304"/>
      <c r="Q5" s="304"/>
      <c r="R5" s="304"/>
      <c r="S5" s="304" t="s">
        <v>12</v>
      </c>
      <c r="T5" s="304"/>
      <c r="U5" s="304"/>
      <c r="V5" s="304"/>
      <c r="W5" s="306" t="s">
        <v>93</v>
      </c>
      <c r="X5" s="306"/>
      <c r="Y5" s="306"/>
      <c r="Z5" s="306"/>
      <c r="AA5" s="306"/>
      <c r="AC5" s="1" t="s">
        <v>181</v>
      </c>
    </row>
    <row r="6" spans="1:32" ht="15" customHeight="1" x14ac:dyDescent="0.25">
      <c r="A6" s="209" t="s">
        <v>90</v>
      </c>
      <c r="B6" s="209"/>
      <c r="C6" s="209"/>
      <c r="D6" s="209"/>
      <c r="E6" s="209"/>
      <c r="F6" s="254" t="s">
        <v>113</v>
      </c>
      <c r="G6" s="254"/>
      <c r="H6" s="254"/>
      <c r="I6" s="254"/>
      <c r="J6" s="254"/>
      <c r="K6" s="254"/>
      <c r="L6" s="254"/>
      <c r="M6" s="254" t="s">
        <v>74</v>
      </c>
      <c r="N6" s="254"/>
      <c r="O6" s="254"/>
      <c r="P6" s="254"/>
      <c r="Q6" s="254"/>
      <c r="R6" s="254"/>
      <c r="S6" s="254" t="b">
        <f>AND(A6=Berechnungstool!$I$44,Berechnungstool!$I$52&gt;1,M6=Berechnungstool!$Z$22)</f>
        <v>0</v>
      </c>
      <c r="T6" s="254"/>
      <c r="U6" s="254"/>
      <c r="V6" s="254"/>
      <c r="W6" s="209" t="s">
        <v>94</v>
      </c>
      <c r="X6" s="209"/>
      <c r="Y6" s="209"/>
      <c r="Z6" s="209"/>
      <c r="AA6" s="209"/>
    </row>
    <row r="7" spans="1:32" ht="15" customHeight="1" x14ac:dyDescent="0.25">
      <c r="A7" s="209" t="s">
        <v>90</v>
      </c>
      <c r="B7" s="209"/>
      <c r="C7" s="209"/>
      <c r="D7" s="209"/>
      <c r="E7" s="209"/>
      <c r="F7" s="254" t="s">
        <v>113</v>
      </c>
      <c r="G7" s="254"/>
      <c r="H7" s="254"/>
      <c r="I7" s="254"/>
      <c r="J7" s="254"/>
      <c r="K7" s="254"/>
      <c r="L7" s="254"/>
      <c r="M7" s="254" t="s">
        <v>40</v>
      </c>
      <c r="N7" s="254"/>
      <c r="O7" s="254"/>
      <c r="P7" s="254"/>
      <c r="Q7" s="254"/>
      <c r="R7" s="254"/>
      <c r="S7" s="254" t="b">
        <f>AND(A7=Berechnungstool!$I$44,Berechnungstool!$I$52&gt;1,M7=Berechnungstool!$Z$22)</f>
        <v>0</v>
      </c>
      <c r="T7" s="254"/>
      <c r="U7" s="254"/>
      <c r="V7" s="254"/>
      <c r="W7" s="209" t="s">
        <v>94</v>
      </c>
      <c r="X7" s="209"/>
      <c r="Y7" s="209"/>
      <c r="Z7" s="209"/>
      <c r="AA7" s="209"/>
    </row>
    <row r="8" spans="1:32" ht="15" customHeight="1" x14ac:dyDescent="0.25">
      <c r="A8" s="209" t="s">
        <v>90</v>
      </c>
      <c r="B8" s="209"/>
      <c r="C8" s="209"/>
      <c r="D8" s="209"/>
      <c r="E8" s="209"/>
      <c r="F8" s="254" t="s">
        <v>113</v>
      </c>
      <c r="G8" s="254"/>
      <c r="H8" s="254"/>
      <c r="I8" s="254"/>
      <c r="J8" s="254"/>
      <c r="K8" s="254"/>
      <c r="L8" s="254"/>
      <c r="M8" s="254" t="s">
        <v>75</v>
      </c>
      <c r="N8" s="254"/>
      <c r="O8" s="254"/>
      <c r="P8" s="254"/>
      <c r="Q8" s="254"/>
      <c r="R8" s="254"/>
      <c r="S8" s="254" t="b">
        <f>AND(A8=Berechnungstool!$I$44,Berechnungstool!$I$52&gt;1,M8=Berechnungstool!$Z$22)</f>
        <v>0</v>
      </c>
      <c r="T8" s="254"/>
      <c r="U8" s="254"/>
      <c r="V8" s="254"/>
      <c r="W8" s="209" t="s">
        <v>95</v>
      </c>
      <c r="X8" s="209"/>
      <c r="Y8" s="209"/>
      <c r="Z8" s="209"/>
      <c r="AA8" s="209"/>
    </row>
    <row r="9" spans="1:32" ht="15" customHeight="1" x14ac:dyDescent="0.25">
      <c r="A9" s="209" t="s">
        <v>90</v>
      </c>
      <c r="B9" s="209"/>
      <c r="C9" s="209"/>
      <c r="D9" s="209"/>
      <c r="E9" s="209"/>
      <c r="F9" s="254" t="s">
        <v>114</v>
      </c>
      <c r="G9" s="254"/>
      <c r="H9" s="254"/>
      <c r="I9" s="254"/>
      <c r="J9" s="254"/>
      <c r="K9" s="254"/>
      <c r="L9" s="254"/>
      <c r="M9" s="254" t="s">
        <v>74</v>
      </c>
      <c r="N9" s="254"/>
      <c r="O9" s="254"/>
      <c r="P9" s="254"/>
      <c r="Q9" s="254"/>
      <c r="R9" s="254"/>
      <c r="S9" s="254" t="b">
        <f>AND(A9=Berechnungstool!$I$44,Berechnungstool!$I$52&lt;=1,M9=Berechnungstool!$Z$22)</f>
        <v>0</v>
      </c>
      <c r="T9" s="254"/>
      <c r="U9" s="254"/>
      <c r="V9" s="254"/>
      <c r="W9" s="209" t="s">
        <v>94</v>
      </c>
      <c r="X9" s="209"/>
      <c r="Y9" s="209"/>
      <c r="Z9" s="209"/>
      <c r="AA9" s="209"/>
    </row>
    <row r="10" spans="1:32" ht="15" customHeight="1" x14ac:dyDescent="0.25">
      <c r="A10" s="209" t="s">
        <v>90</v>
      </c>
      <c r="B10" s="209"/>
      <c r="C10" s="209"/>
      <c r="D10" s="209"/>
      <c r="E10" s="209"/>
      <c r="F10" s="254" t="s">
        <v>114</v>
      </c>
      <c r="G10" s="254"/>
      <c r="H10" s="254"/>
      <c r="I10" s="254"/>
      <c r="J10" s="254"/>
      <c r="K10" s="254"/>
      <c r="L10" s="254"/>
      <c r="M10" s="254" t="s">
        <v>40</v>
      </c>
      <c r="N10" s="254"/>
      <c r="O10" s="254"/>
      <c r="P10" s="254"/>
      <c r="Q10" s="254"/>
      <c r="R10" s="254"/>
      <c r="S10" s="254" t="b">
        <f>AND(A10=Berechnungstool!$I$44,Berechnungstool!$I$52&lt;=1,M10=Berechnungstool!$Z$22)</f>
        <v>0</v>
      </c>
      <c r="T10" s="254"/>
      <c r="U10" s="254"/>
      <c r="V10" s="254"/>
      <c r="W10" s="209" t="s">
        <v>95</v>
      </c>
      <c r="X10" s="209"/>
      <c r="Y10" s="209"/>
      <c r="Z10" s="209"/>
      <c r="AA10" s="209"/>
    </row>
    <row r="11" spans="1:32" ht="15" customHeight="1" x14ac:dyDescent="0.25">
      <c r="A11" s="209" t="s">
        <v>90</v>
      </c>
      <c r="B11" s="209"/>
      <c r="C11" s="209"/>
      <c r="D11" s="209"/>
      <c r="E11" s="209"/>
      <c r="F11" s="254" t="s">
        <v>114</v>
      </c>
      <c r="G11" s="254"/>
      <c r="H11" s="254"/>
      <c r="I11" s="254"/>
      <c r="J11" s="254"/>
      <c r="K11" s="254"/>
      <c r="L11" s="254"/>
      <c r="M11" s="254" t="s">
        <v>75</v>
      </c>
      <c r="N11" s="254"/>
      <c r="O11" s="254"/>
      <c r="P11" s="254"/>
      <c r="Q11" s="254"/>
      <c r="R11" s="254"/>
      <c r="S11" s="254" t="b">
        <f>AND(A11=Berechnungstool!$I$44,Berechnungstool!$I$52&lt;=1,M11=Berechnungstool!$Z$22)</f>
        <v>0</v>
      </c>
      <c r="T11" s="254"/>
      <c r="U11" s="254"/>
      <c r="V11" s="254"/>
      <c r="W11" s="209" t="s">
        <v>96</v>
      </c>
      <c r="X11" s="209"/>
      <c r="Y11" s="209"/>
      <c r="Z11" s="209"/>
      <c r="AA11" s="209"/>
    </row>
    <row r="12" spans="1:32" ht="15" customHeight="1" x14ac:dyDescent="0.25">
      <c r="A12" s="209" t="s">
        <v>91</v>
      </c>
      <c r="B12" s="209"/>
      <c r="C12" s="209"/>
      <c r="D12" s="209"/>
      <c r="E12" s="209"/>
      <c r="F12" s="254" t="s">
        <v>115</v>
      </c>
      <c r="G12" s="254"/>
      <c r="H12" s="254"/>
      <c r="I12" s="254"/>
      <c r="J12" s="254"/>
      <c r="K12" s="254"/>
      <c r="L12" s="254"/>
      <c r="M12" s="254" t="s">
        <v>74</v>
      </c>
      <c r="N12" s="254"/>
      <c r="O12" s="254"/>
      <c r="P12" s="254"/>
      <c r="Q12" s="254"/>
      <c r="R12" s="254"/>
      <c r="S12" s="254" t="b">
        <f>AND(A12=Berechnungstool!$I$44,M12=Berechnungstool!$Z$22)</f>
        <v>0</v>
      </c>
      <c r="T12" s="254"/>
      <c r="U12" s="254"/>
      <c r="V12" s="254"/>
      <c r="W12" s="209" t="s">
        <v>94</v>
      </c>
      <c r="X12" s="209"/>
      <c r="Y12" s="209"/>
      <c r="Z12" s="209"/>
      <c r="AA12" s="209"/>
    </row>
    <row r="13" spans="1:32" ht="15" customHeight="1" x14ac:dyDescent="0.25">
      <c r="A13" s="209" t="s">
        <v>91</v>
      </c>
      <c r="B13" s="209"/>
      <c r="C13" s="209"/>
      <c r="D13" s="209"/>
      <c r="E13" s="209"/>
      <c r="F13" s="254" t="s">
        <v>115</v>
      </c>
      <c r="G13" s="254"/>
      <c r="H13" s="254"/>
      <c r="I13" s="254"/>
      <c r="J13" s="254"/>
      <c r="K13" s="254"/>
      <c r="L13" s="254"/>
      <c r="M13" s="254" t="s">
        <v>40</v>
      </c>
      <c r="N13" s="254"/>
      <c r="O13" s="254"/>
      <c r="P13" s="254"/>
      <c r="Q13" s="254"/>
      <c r="R13" s="254"/>
      <c r="S13" s="254" t="b">
        <f>AND(A13=Berechnungstool!$I$44,M13=Berechnungstool!$Z$22)</f>
        <v>0</v>
      </c>
      <c r="T13" s="254"/>
      <c r="U13" s="254"/>
      <c r="V13" s="254"/>
      <c r="W13" s="209" t="s">
        <v>94</v>
      </c>
      <c r="X13" s="209"/>
      <c r="Y13" s="209"/>
      <c r="Z13" s="209"/>
      <c r="AA13" s="209"/>
    </row>
    <row r="14" spans="1:32" ht="15" customHeight="1" x14ac:dyDescent="0.25">
      <c r="A14" s="209" t="s">
        <v>91</v>
      </c>
      <c r="B14" s="209"/>
      <c r="C14" s="209"/>
      <c r="D14" s="209"/>
      <c r="E14" s="209"/>
      <c r="F14" s="254" t="s">
        <v>115</v>
      </c>
      <c r="G14" s="254"/>
      <c r="H14" s="254"/>
      <c r="I14" s="254"/>
      <c r="J14" s="254"/>
      <c r="K14" s="254"/>
      <c r="L14" s="254"/>
      <c r="M14" s="254" t="s">
        <v>75</v>
      </c>
      <c r="N14" s="254"/>
      <c r="O14" s="254"/>
      <c r="P14" s="254"/>
      <c r="Q14" s="254"/>
      <c r="R14" s="254"/>
      <c r="S14" s="254" t="b">
        <f>AND(A14=Berechnungstool!$I$44,M14=Berechnungstool!$Z$22)</f>
        <v>0</v>
      </c>
      <c r="T14" s="254"/>
      <c r="U14" s="254"/>
      <c r="V14" s="254"/>
      <c r="W14" s="209" t="s">
        <v>95</v>
      </c>
      <c r="X14" s="209"/>
      <c r="Y14" s="209"/>
      <c r="Z14" s="209"/>
      <c r="AA14" s="209"/>
    </row>
    <row r="15" spans="1:32" ht="15" customHeight="1" x14ac:dyDescent="0.25">
      <c r="A15" s="23"/>
      <c r="B15" s="23"/>
      <c r="C15" s="23"/>
      <c r="D15" s="23"/>
      <c r="E15" s="23"/>
    </row>
    <row r="16" spans="1:32" ht="15" customHeight="1" x14ac:dyDescent="0.25">
      <c r="A16" s="304" t="s">
        <v>89</v>
      </c>
      <c r="B16" s="304"/>
      <c r="C16" s="304"/>
      <c r="D16" s="304"/>
      <c r="E16" s="304"/>
      <c r="F16" s="304" t="s">
        <v>103</v>
      </c>
      <c r="G16" s="304"/>
      <c r="H16" s="304"/>
      <c r="I16" s="304"/>
      <c r="J16" s="304"/>
      <c r="K16" s="304"/>
      <c r="L16" s="304"/>
      <c r="M16" s="304" t="s">
        <v>19</v>
      </c>
      <c r="N16" s="304"/>
      <c r="O16" s="304"/>
      <c r="P16" s="304"/>
      <c r="Q16" s="304"/>
      <c r="R16" s="304"/>
      <c r="S16" s="304" t="s">
        <v>12</v>
      </c>
      <c r="T16" s="304"/>
      <c r="U16" s="304"/>
      <c r="V16" s="304"/>
      <c r="W16" s="306" t="s">
        <v>97</v>
      </c>
      <c r="X16" s="306"/>
      <c r="Y16" s="306"/>
      <c r="Z16" s="306"/>
      <c r="AA16" s="306"/>
      <c r="AC16" s="1" t="s">
        <v>182</v>
      </c>
    </row>
    <row r="17" spans="1:27" ht="15" customHeight="1" x14ac:dyDescent="0.25">
      <c r="A17" s="209" t="s">
        <v>90</v>
      </c>
      <c r="B17" s="209"/>
      <c r="C17" s="209"/>
      <c r="D17" s="209"/>
      <c r="E17" s="209"/>
      <c r="F17" s="254" t="s">
        <v>117</v>
      </c>
      <c r="G17" s="254"/>
      <c r="H17" s="254"/>
      <c r="I17" s="254"/>
      <c r="J17" s="254"/>
      <c r="K17" s="254"/>
      <c r="L17" s="254"/>
      <c r="M17" s="256" t="s">
        <v>116</v>
      </c>
      <c r="N17" s="257"/>
      <c r="O17" s="257"/>
      <c r="P17" s="257"/>
      <c r="Q17" s="257"/>
      <c r="R17" s="258"/>
      <c r="S17" s="254" t="b">
        <f>AND(A17=Berechnungstool!$I$44,Berechnungstool!$I$53&gt;=0.1)</f>
        <v>0</v>
      </c>
      <c r="T17" s="254"/>
      <c r="U17" s="254"/>
      <c r="V17" s="254"/>
      <c r="W17" s="209" t="s">
        <v>94</v>
      </c>
      <c r="X17" s="209"/>
      <c r="Y17" s="209"/>
      <c r="Z17" s="209"/>
      <c r="AA17" s="209"/>
    </row>
    <row r="18" spans="1:27" ht="15" customHeight="1" x14ac:dyDescent="0.25">
      <c r="A18" s="209" t="s">
        <v>90</v>
      </c>
      <c r="B18" s="209"/>
      <c r="C18" s="209"/>
      <c r="D18" s="209"/>
      <c r="E18" s="209"/>
      <c r="F18" s="254" t="s">
        <v>110</v>
      </c>
      <c r="G18" s="254"/>
      <c r="H18" s="254"/>
      <c r="I18" s="254"/>
      <c r="J18" s="254"/>
      <c r="K18" s="254"/>
      <c r="L18" s="254"/>
      <c r="M18" s="256" t="s">
        <v>116</v>
      </c>
      <c r="N18" s="257"/>
      <c r="O18" s="257"/>
      <c r="P18" s="257"/>
      <c r="Q18" s="257"/>
      <c r="R18" s="258"/>
      <c r="S18" s="254" t="b">
        <f>AND(A18=Berechnungstool!$I$44,Berechnungstool!$I$53&lt;0.1)</f>
        <v>0</v>
      </c>
      <c r="T18" s="254"/>
      <c r="U18" s="254"/>
      <c r="V18" s="254"/>
      <c r="W18" s="209" t="s">
        <v>98</v>
      </c>
      <c r="X18" s="209"/>
      <c r="Y18" s="209"/>
      <c r="Z18" s="209"/>
      <c r="AA18" s="209"/>
    </row>
    <row r="19" spans="1:27" ht="15" customHeight="1" x14ac:dyDescent="0.25">
      <c r="A19" s="209" t="s">
        <v>91</v>
      </c>
      <c r="B19" s="209"/>
      <c r="C19" s="209"/>
      <c r="D19" s="209"/>
      <c r="E19" s="209"/>
      <c r="F19" s="254" t="s">
        <v>115</v>
      </c>
      <c r="G19" s="254"/>
      <c r="H19" s="254"/>
      <c r="I19" s="254"/>
      <c r="J19" s="254"/>
      <c r="K19" s="254"/>
      <c r="L19" s="254"/>
      <c r="M19" s="256" t="s">
        <v>116</v>
      </c>
      <c r="N19" s="257"/>
      <c r="O19" s="257"/>
      <c r="P19" s="257"/>
      <c r="Q19" s="257"/>
      <c r="R19" s="258"/>
      <c r="S19" s="254" t="b">
        <f>AND(A19=Berechnungstool!$I$44)</f>
        <v>0</v>
      </c>
      <c r="T19" s="254"/>
      <c r="U19" s="254"/>
      <c r="V19" s="254"/>
      <c r="W19" s="209" t="s">
        <v>94</v>
      </c>
      <c r="X19" s="209"/>
      <c r="Y19" s="209"/>
      <c r="Z19" s="209"/>
      <c r="AA19" s="209"/>
    </row>
    <row r="20" spans="1:27" ht="15" customHeight="1" x14ac:dyDescent="0.25"/>
    <row r="21" spans="1:27" ht="15" customHeight="1" x14ac:dyDescent="0.25"/>
    <row r="22" spans="1:27" ht="15" customHeight="1" x14ac:dyDescent="0.25"/>
    <row r="23" spans="1:27" ht="15" customHeight="1" x14ac:dyDescent="0.25"/>
    <row r="24" spans="1:27" ht="15" customHeight="1" x14ac:dyDescent="0.25"/>
    <row r="25" spans="1:27" ht="15" customHeight="1" x14ac:dyDescent="0.25"/>
    <row r="26" spans="1:27" ht="15" customHeight="1" x14ac:dyDescent="0.25"/>
    <row r="27" spans="1:27" ht="15" customHeight="1" x14ac:dyDescent="0.25"/>
    <row r="28" spans="1:27" ht="15" customHeight="1" x14ac:dyDescent="0.25"/>
    <row r="29" spans="1:27" ht="15" customHeight="1" x14ac:dyDescent="0.25"/>
    <row r="30" spans="1:27" ht="15" customHeight="1" x14ac:dyDescent="0.25"/>
    <row r="31" spans="1:27" ht="15" customHeight="1" x14ac:dyDescent="0.25"/>
    <row r="32" spans="1:27"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hidden="1" customHeight="1" x14ac:dyDescent="0.25"/>
    <row r="52" ht="15" hidden="1" customHeight="1" x14ac:dyDescent="0.25"/>
  </sheetData>
  <sheetProtection algorithmName="SHA-512" hashValue="JBGZmr9bm4HP+heBfJ543Z1Wrw0sz6wZ2aSQmxQAjoFEg1QjtWra5PoUEc2TRqcyaOYKZt+oLf94U5VkBz/Ltw==" saltValue="QZpPkfTwiRd9KmMc9AZumQ==" spinCount="100000" sheet="1" objects="1" scenarios="1"/>
  <mergeCells count="73">
    <mergeCell ref="N1:S1"/>
    <mergeCell ref="A1:F1"/>
    <mergeCell ref="AA1:AF1"/>
    <mergeCell ref="A19:E19"/>
    <mergeCell ref="F19:L19"/>
    <mergeCell ref="M19:R19"/>
    <mergeCell ref="S19:V19"/>
    <mergeCell ref="W19:AA19"/>
    <mergeCell ref="A17:E17"/>
    <mergeCell ref="F17:L17"/>
    <mergeCell ref="S17:V17"/>
    <mergeCell ref="W17:AA17"/>
    <mergeCell ref="M17:R17"/>
    <mergeCell ref="A18:E18"/>
    <mergeCell ref="F18:L18"/>
    <mergeCell ref="M18:R18"/>
    <mergeCell ref="S18:V18"/>
    <mergeCell ref="W18:AA18"/>
    <mergeCell ref="A14:E14"/>
    <mergeCell ref="F14:L14"/>
    <mergeCell ref="M14:R14"/>
    <mergeCell ref="S14:V14"/>
    <mergeCell ref="W14:AA14"/>
    <mergeCell ref="A16:E16"/>
    <mergeCell ref="F16:L16"/>
    <mergeCell ref="M16:R16"/>
    <mergeCell ref="S16:V16"/>
    <mergeCell ref="W16:AA16"/>
    <mergeCell ref="A12:E12"/>
    <mergeCell ref="F12:L12"/>
    <mergeCell ref="M12:R12"/>
    <mergeCell ref="S12:V12"/>
    <mergeCell ref="W12:AA12"/>
    <mergeCell ref="A13:E13"/>
    <mergeCell ref="F13:L13"/>
    <mergeCell ref="M13:R13"/>
    <mergeCell ref="S13:V13"/>
    <mergeCell ref="W13:AA13"/>
    <mergeCell ref="F10:L10"/>
    <mergeCell ref="A11:E11"/>
    <mergeCell ref="F11:L11"/>
    <mergeCell ref="M11:R11"/>
    <mergeCell ref="S11:V11"/>
    <mergeCell ref="S10:V10"/>
    <mergeCell ref="A10:E10"/>
    <mergeCell ref="M10:R10"/>
    <mergeCell ref="W11:AA11"/>
    <mergeCell ref="W5:AA5"/>
    <mergeCell ref="W6:AA6"/>
    <mergeCell ref="W7:AA7"/>
    <mergeCell ref="W8:AA8"/>
    <mergeCell ref="W9:AA9"/>
    <mergeCell ref="W10:AA10"/>
    <mergeCell ref="S5:V5"/>
    <mergeCell ref="S6:V6"/>
    <mergeCell ref="S7:V7"/>
    <mergeCell ref="S8:V8"/>
    <mergeCell ref="S9:V9"/>
    <mergeCell ref="F8:L8"/>
    <mergeCell ref="A8:E8"/>
    <mergeCell ref="A9:E9"/>
    <mergeCell ref="F9:L9"/>
    <mergeCell ref="M6:R6"/>
    <mergeCell ref="M7:R7"/>
    <mergeCell ref="M8:R8"/>
    <mergeCell ref="M9:R9"/>
    <mergeCell ref="A5:E5"/>
    <mergeCell ref="M5:R5"/>
    <mergeCell ref="A6:E6"/>
    <mergeCell ref="A7:E7"/>
    <mergeCell ref="F5:L5"/>
    <mergeCell ref="F6:L6"/>
    <mergeCell ref="F7:L7"/>
  </mergeCells>
  <conditionalFormatting sqref="S6:V14 S17:V19">
    <cfRule type="cellIs" dxfId="6" priority="2" operator="equal">
      <formula>TRUE</formula>
    </cfRule>
  </conditionalFormatting>
  <dataValidations disablePrompts="1" count="1">
    <dataValidation type="list" allowBlank="1" showInputMessage="1" showErrorMessage="1" sqref="A17:E19">
      <formula1>$O$13:$O$14</formula1>
    </dataValidation>
  </dataValidations>
  <hyperlinks>
    <hyperlink ref="N1:S1" location="INDEX!A1" display="🏠 INDEX"/>
    <hyperlink ref="AA1:AF1" location="'14'!A1" display="▶ 14"/>
    <hyperlink ref="A1:F1" location="'12'!A1" display="12 ◀"/>
  </hyperlinks>
  <pageMargins left="0.7" right="0.7" top="0.78740157499999996" bottom="0.78740157499999996" header="0.3" footer="0.3"/>
  <pageSetup paperSize="9" orientation="portrait" horizontalDpi="90" verticalDpi="90" r:id="rId1"/>
  <headerFooter>
    <oddHeader>&amp;L&amp;"-,Standard"13 - Zulässigkeit Einleitung</oddHeader>
  </headerFooter>
  <extLst>
    <ext xmlns:x14="http://schemas.microsoft.com/office/spreadsheetml/2009/9/main" uri="{CCE6A557-97BC-4b89-ADB6-D9C93CAAB3DF}">
      <x14:dataValidations xmlns:xm="http://schemas.microsoft.com/office/excel/2006/main" disablePrompts="1" count="4">
        <x14:dataValidation type="list" allowBlank="1" showInputMessage="1" showErrorMessage="1">
          <x14:formula1>
            <xm:f>'1'!$O$12:$O$13</xm:f>
          </x14:formula1>
          <xm:sqref>A6:E14</xm:sqref>
        </x14:dataValidation>
        <x14:dataValidation type="list" allowBlank="1" showInputMessage="1" showErrorMessage="1">
          <x14:formula1>
            <xm:f>'1'!$G$12:$G$14</xm:f>
          </x14:formula1>
          <xm:sqref>M6:R14</xm:sqref>
        </x14:dataValidation>
        <x14:dataValidation type="list" allowBlank="1" showInputMessage="1" showErrorMessage="1">
          <x14:formula1>
            <xm:f>'1'!$U$12:$U$13</xm:f>
          </x14:formula1>
          <xm:sqref>W17:AA19</xm:sqref>
        </x14:dataValidation>
        <x14:dataValidation type="list" allowBlank="1" showInputMessage="1" showErrorMessage="1">
          <x14:formula1>
            <xm:f>'1'!$AA$12:$AA$15</xm:f>
          </x14:formula1>
          <xm:sqref>W6:AA14</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I31"/>
  <sheetViews>
    <sheetView view="pageLayout" topLeftCell="A4" zoomScaleNormal="100" workbookViewId="0">
      <selection activeCell="W1" sqref="W1:AB1"/>
    </sheetView>
  </sheetViews>
  <sheetFormatPr baseColWidth="10" defaultColWidth="0" defaultRowHeight="0" customHeight="1" zeroHeight="1" x14ac:dyDescent="0.25"/>
  <cols>
    <col min="1" max="38" width="2.375" style="2" customWidth="1"/>
    <col min="39" max="48" width="2.375" style="1" customWidth="1"/>
    <col min="49" max="86" width="2.375" style="1" hidden="1" customWidth="1"/>
    <col min="87" max="87" width="0" style="1" hidden="1" customWidth="1"/>
    <col min="88" max="16384" width="2.375" style="1" hidden="1"/>
  </cols>
  <sheetData>
    <row r="1" spans="1:46" ht="15" customHeight="1" x14ac:dyDescent="0.25">
      <c r="A1" s="282" t="s">
        <v>281</v>
      </c>
      <c r="B1" s="282"/>
      <c r="C1" s="282"/>
      <c r="D1" s="282"/>
      <c r="E1" s="282"/>
      <c r="F1" s="282"/>
      <c r="G1" s="1"/>
      <c r="H1" s="1"/>
      <c r="I1" s="1"/>
      <c r="J1" s="1"/>
      <c r="K1" s="1"/>
      <c r="L1" s="1"/>
      <c r="M1" s="1"/>
      <c r="N1" s="1"/>
      <c r="O1" s="1"/>
      <c r="P1" s="1"/>
      <c r="Q1" s="1"/>
      <c r="R1" s="1"/>
      <c r="S1" s="1"/>
      <c r="T1" s="1"/>
      <c r="U1" s="1"/>
      <c r="V1" s="1"/>
      <c r="W1" s="282" t="s">
        <v>170</v>
      </c>
      <c r="X1" s="282"/>
      <c r="Y1" s="282"/>
      <c r="Z1" s="282"/>
      <c r="AA1" s="282"/>
      <c r="AB1" s="282"/>
      <c r="AC1" s="1"/>
      <c r="AD1" s="1"/>
      <c r="AE1" s="1"/>
      <c r="AF1" s="1"/>
      <c r="AG1" s="1"/>
      <c r="AH1" s="1"/>
      <c r="AI1" s="1"/>
      <c r="AJ1" s="1"/>
      <c r="AK1" s="1"/>
      <c r="AL1" s="1"/>
      <c r="AO1" s="335"/>
      <c r="AP1" s="335"/>
      <c r="AQ1" s="335"/>
      <c r="AR1" s="335"/>
      <c r="AS1" s="335"/>
      <c r="AT1" s="335"/>
    </row>
    <row r="2" spans="1:46" ht="15" customHeigh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row>
    <row r="3" spans="1:46" ht="15" customHeight="1" x14ac:dyDescent="0.25">
      <c r="A3" s="1" t="s">
        <v>7</v>
      </c>
      <c r="B3" s="1"/>
      <c r="C3" s="1"/>
      <c r="D3" s="1"/>
      <c r="E3" s="1"/>
      <c r="F3" s="1"/>
      <c r="G3" s="1"/>
      <c r="H3" s="1"/>
      <c r="I3" s="49" t="s">
        <v>80</v>
      </c>
      <c r="J3" s="1"/>
      <c r="K3" s="1"/>
      <c r="L3" s="1"/>
      <c r="M3" s="1"/>
      <c r="N3" s="1"/>
      <c r="O3" s="1"/>
      <c r="P3" s="1"/>
      <c r="Q3" s="1"/>
      <c r="R3" s="1"/>
      <c r="S3" s="1"/>
      <c r="T3" s="1"/>
      <c r="U3" s="1"/>
      <c r="V3" s="1"/>
      <c r="W3" s="1"/>
      <c r="X3" s="1"/>
      <c r="Y3" s="1"/>
      <c r="Z3" s="1"/>
      <c r="AA3" s="1"/>
      <c r="AB3" s="1"/>
      <c r="AC3" s="1"/>
      <c r="AD3" s="1"/>
      <c r="AE3" s="1"/>
      <c r="AF3" s="1"/>
      <c r="AG3" s="1"/>
      <c r="AH3" s="1"/>
      <c r="AI3" s="1"/>
      <c r="AK3" s="1"/>
      <c r="AL3" s="1"/>
      <c r="AN3" s="23" t="s">
        <v>148</v>
      </c>
    </row>
    <row r="4" spans="1:46" ht="15" customHeight="1"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row>
    <row r="5" spans="1:46" ht="15" customHeight="1" x14ac:dyDescent="0.25">
      <c r="A5" s="1" t="s">
        <v>4</v>
      </c>
      <c r="B5" s="1"/>
      <c r="C5" s="1"/>
      <c r="D5" s="1"/>
      <c r="E5" s="1"/>
      <c r="F5" s="1"/>
      <c r="G5" s="1"/>
      <c r="H5" s="1"/>
      <c r="I5" s="322">
        <f>Berechnungstool!$I$10</f>
        <v>0</v>
      </c>
      <c r="J5" s="322"/>
      <c r="K5" s="322"/>
      <c r="L5" s="322"/>
      <c r="M5" s="322"/>
      <c r="N5" s="1" t="s">
        <v>6</v>
      </c>
      <c r="O5" s="1"/>
      <c r="P5" s="1"/>
      <c r="Q5" s="85"/>
      <c r="R5" s="85"/>
      <c r="S5" s="85"/>
      <c r="T5" s="85"/>
      <c r="U5" s="85"/>
      <c r="V5" s="61"/>
      <c r="X5" s="1"/>
      <c r="Y5" s="1"/>
      <c r="Z5" s="1"/>
      <c r="AA5" s="1"/>
      <c r="AB5" s="1"/>
      <c r="AC5" s="1"/>
      <c r="AD5" s="1"/>
      <c r="AE5" s="1"/>
      <c r="AF5" s="1"/>
      <c r="AG5" s="1"/>
      <c r="AH5" s="1"/>
      <c r="AI5" s="1"/>
      <c r="AJ5" s="1"/>
      <c r="AK5" s="1"/>
      <c r="AL5" s="1"/>
    </row>
    <row r="6" spans="1:46" ht="15" customHeight="1" x14ac:dyDescent="0.25">
      <c r="A6" s="1" t="s">
        <v>28</v>
      </c>
      <c r="B6" s="1"/>
      <c r="C6" s="1"/>
      <c r="D6" s="1"/>
      <c r="E6" s="1"/>
      <c r="F6" s="1"/>
      <c r="G6" s="1"/>
      <c r="H6" s="1"/>
      <c r="I6" s="334">
        <f>Berechnungstool!$I$13</f>
        <v>0.25</v>
      </c>
      <c r="J6" s="322"/>
      <c r="K6" s="322"/>
      <c r="L6" s="322"/>
      <c r="M6" s="322"/>
      <c r="N6" s="1" t="s">
        <v>5</v>
      </c>
      <c r="O6" s="1"/>
      <c r="P6" s="1"/>
      <c r="Q6" s="85"/>
      <c r="R6" s="85"/>
      <c r="S6" s="85"/>
      <c r="T6" s="85"/>
      <c r="U6" s="85"/>
      <c r="V6" s="61"/>
      <c r="X6" s="1"/>
      <c r="AH6" s="1"/>
      <c r="AI6" s="1"/>
      <c r="AJ6" s="1"/>
      <c r="AK6" s="1"/>
      <c r="AL6" s="1"/>
    </row>
    <row r="7" spans="1:46" ht="15" customHeight="1" x14ac:dyDescent="0.25">
      <c r="A7" s="1" t="s">
        <v>0</v>
      </c>
      <c r="B7" s="1"/>
      <c r="C7" s="1"/>
      <c r="D7" s="1"/>
      <c r="E7" s="1"/>
      <c r="F7" s="1"/>
      <c r="G7" s="1"/>
      <c r="H7" s="1"/>
      <c r="I7" s="322">
        <f>Berechnungstool!$I$9</f>
        <v>0</v>
      </c>
      <c r="J7" s="322"/>
      <c r="K7" s="322"/>
      <c r="L7" s="322"/>
      <c r="M7" s="322"/>
      <c r="N7" s="1"/>
      <c r="O7" s="1"/>
      <c r="P7" s="1"/>
      <c r="Q7" s="85"/>
      <c r="R7" s="85"/>
      <c r="S7" s="85"/>
      <c r="T7" s="85"/>
      <c r="U7" s="85"/>
      <c r="X7" s="1"/>
      <c r="Y7" s="1"/>
      <c r="Z7" s="1"/>
      <c r="AA7" s="1"/>
      <c r="AB7" s="1"/>
      <c r="AC7" s="1"/>
      <c r="AD7" s="1"/>
      <c r="AE7" s="1"/>
      <c r="AF7" s="1"/>
      <c r="AG7" s="1"/>
      <c r="AH7" s="1"/>
      <c r="AI7" s="1"/>
      <c r="AJ7" s="51"/>
      <c r="AK7" s="1"/>
      <c r="AL7" s="1"/>
    </row>
    <row r="8" spans="1:46" ht="15" customHeight="1"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row>
    <row r="9" spans="1:46" ht="15" customHeight="1" x14ac:dyDescent="0.25">
      <c r="A9" s="304" t="s">
        <v>28</v>
      </c>
      <c r="B9" s="304"/>
      <c r="C9" s="304"/>
      <c r="D9" s="304"/>
      <c r="E9" s="304"/>
      <c r="F9" s="304" t="s">
        <v>9</v>
      </c>
      <c r="G9" s="304"/>
      <c r="H9" s="304"/>
      <c r="I9" s="304"/>
      <c r="J9" s="304"/>
      <c r="K9" s="304"/>
      <c r="L9" s="304" t="s">
        <v>246</v>
      </c>
      <c r="M9" s="304"/>
      <c r="N9" s="304"/>
      <c r="O9" s="304"/>
      <c r="P9" s="304"/>
      <c r="Q9" s="299" t="s">
        <v>18</v>
      </c>
      <c r="R9" s="300"/>
      <c r="S9" s="300"/>
      <c r="T9" s="300"/>
      <c r="U9" s="303"/>
      <c r="V9" s="299" t="s">
        <v>247</v>
      </c>
      <c r="W9" s="300"/>
      <c r="X9" s="300"/>
      <c r="Y9" s="300"/>
      <c r="Z9" s="303"/>
      <c r="AA9" s="304" t="s">
        <v>146</v>
      </c>
      <c r="AB9" s="304"/>
      <c r="AC9" s="304"/>
      <c r="AD9" s="304"/>
      <c r="AE9" s="304"/>
      <c r="AF9" s="304"/>
      <c r="AG9" s="304"/>
      <c r="AH9" s="304"/>
      <c r="AI9" s="304"/>
      <c r="AJ9" s="304" t="s">
        <v>12</v>
      </c>
      <c r="AK9" s="304"/>
      <c r="AL9" s="304"/>
      <c r="AM9" s="304"/>
      <c r="AN9" s="326" t="s">
        <v>147</v>
      </c>
      <c r="AO9" s="326"/>
      <c r="AP9" s="326"/>
      <c r="AQ9" s="326"/>
      <c r="AR9" s="326"/>
      <c r="AS9" s="326"/>
      <c r="AT9" s="326"/>
    </row>
    <row r="10" spans="1:46" ht="15" customHeight="1" x14ac:dyDescent="0.25">
      <c r="A10" s="304" t="s">
        <v>37</v>
      </c>
      <c r="B10" s="304"/>
      <c r="C10" s="304" t="s">
        <v>38</v>
      </c>
      <c r="D10" s="304"/>
      <c r="E10" s="304"/>
      <c r="F10" s="304" t="s">
        <v>14</v>
      </c>
      <c r="G10" s="304"/>
      <c r="H10" s="304"/>
      <c r="I10" s="304"/>
      <c r="J10" s="304"/>
      <c r="K10" s="304"/>
      <c r="L10" s="304" t="s">
        <v>144</v>
      </c>
      <c r="M10" s="304"/>
      <c r="N10" s="304"/>
      <c r="O10" s="304"/>
      <c r="P10" s="304"/>
      <c r="Q10" s="299" t="s">
        <v>144</v>
      </c>
      <c r="R10" s="300"/>
      <c r="S10" s="300"/>
      <c r="T10" s="300"/>
      <c r="U10" s="303"/>
      <c r="V10" s="299" t="s">
        <v>144</v>
      </c>
      <c r="W10" s="300"/>
      <c r="X10" s="300"/>
      <c r="Y10" s="300"/>
      <c r="Z10" s="303"/>
      <c r="AA10" s="304" t="s">
        <v>216</v>
      </c>
      <c r="AB10" s="304"/>
      <c r="AC10" s="304"/>
      <c r="AD10" s="304"/>
      <c r="AE10" s="304" t="s">
        <v>145</v>
      </c>
      <c r="AF10" s="304"/>
      <c r="AG10" s="304"/>
      <c r="AH10" s="304"/>
      <c r="AI10" s="304"/>
      <c r="AJ10" s="304" t="s">
        <v>15</v>
      </c>
      <c r="AK10" s="304"/>
      <c r="AL10" s="304"/>
      <c r="AM10" s="304"/>
      <c r="AN10" s="326" t="s">
        <v>144</v>
      </c>
      <c r="AO10" s="326"/>
      <c r="AP10" s="326"/>
      <c r="AQ10" s="326"/>
      <c r="AR10" s="326"/>
      <c r="AS10" s="326"/>
      <c r="AT10" s="326"/>
    </row>
    <row r="11" spans="1:46" ht="15" customHeight="1" x14ac:dyDescent="0.25">
      <c r="A11" s="320">
        <v>0</v>
      </c>
      <c r="B11" s="320"/>
      <c r="C11" s="321">
        <f>A11/60</f>
        <v>0</v>
      </c>
      <c r="D11" s="321"/>
      <c r="E11" s="321"/>
      <c r="F11" s="327" t="e">
        <f>VLOOKUP(TRUE,'3'!$N$7:$W$30,5,FALSE)/(C11+VLOOKUP(TRUE,'3'!$N$7:$W$30,8,FALSE))*2.78</f>
        <v>#N/A</v>
      </c>
      <c r="G11" s="327"/>
      <c r="H11" s="327"/>
      <c r="I11" s="327"/>
      <c r="J11" s="327"/>
      <c r="K11" s="327"/>
      <c r="L11" s="321" t="e">
        <f>F11*A11*60/1000*Berechnungstool!$Z$6</f>
        <v>#N/A</v>
      </c>
      <c r="M11" s="321"/>
      <c r="N11" s="321"/>
      <c r="O11" s="321"/>
      <c r="P11" s="321"/>
      <c r="Q11" s="323" t="e">
        <f>Berechnungstool!$Z$10*A11*60/1000</f>
        <v>#VALUE!</v>
      </c>
      <c r="R11" s="324"/>
      <c r="S11" s="324"/>
      <c r="T11" s="324"/>
      <c r="U11" s="325"/>
      <c r="V11" s="323" t="e">
        <f>L11+Q11</f>
        <v>#N/A</v>
      </c>
      <c r="W11" s="324"/>
      <c r="X11" s="324"/>
      <c r="Y11" s="324"/>
      <c r="Z11" s="325"/>
      <c r="AA11" s="321">
        <v>0</v>
      </c>
      <c r="AB11" s="321"/>
      <c r="AC11" s="321"/>
      <c r="AD11" s="321"/>
      <c r="AE11" s="321">
        <v>0</v>
      </c>
      <c r="AF11" s="321"/>
      <c r="AG11" s="321"/>
      <c r="AH11" s="321"/>
      <c r="AI11" s="321"/>
      <c r="AJ11" s="320" t="e">
        <f>AND(IF(Berechnungstool!$I$13=0.25,MAX($AN$14:$AT$24),IF(Berechnungstool!$I$13&gt;0.34,MAX($AN$16:$AT$24),MAX($AN$15:$AT$24)))=AN11)</f>
        <v>#N/A</v>
      </c>
      <c r="AK11" s="320"/>
      <c r="AL11" s="320"/>
      <c r="AM11" s="320"/>
      <c r="AN11" s="321" t="e">
        <f t="shared" ref="AN11:AN23" si="0">IF(V11-AE11&lt;0,0,V11-AE11)</f>
        <v>#N/A</v>
      </c>
      <c r="AO11" s="321"/>
      <c r="AP11" s="321"/>
      <c r="AQ11" s="321"/>
      <c r="AR11" s="321"/>
      <c r="AS11" s="321"/>
      <c r="AT11" s="321"/>
    </row>
    <row r="12" spans="1:46" ht="15" customHeight="1" x14ac:dyDescent="0.25">
      <c r="A12" s="320">
        <v>5</v>
      </c>
      <c r="B12" s="320"/>
      <c r="C12" s="321">
        <f t="shared" ref="C12:C17" si="1">A12/60</f>
        <v>8.3333333333333329E-2</v>
      </c>
      <c r="D12" s="321"/>
      <c r="E12" s="321"/>
      <c r="F12" s="327" t="e">
        <f>VLOOKUP(TRUE,'3'!$N$7:$W$30,5,FALSE)/(C12+VLOOKUP(TRUE,'3'!$N$7:$W$30,8,FALSE))*2.78</f>
        <v>#N/A</v>
      </c>
      <c r="G12" s="327"/>
      <c r="H12" s="327"/>
      <c r="I12" s="327"/>
      <c r="J12" s="327"/>
      <c r="K12" s="327"/>
      <c r="L12" s="321" t="e">
        <f>F12*A12*60/1000*Berechnungstool!$Z$6</f>
        <v>#N/A</v>
      </c>
      <c r="M12" s="321"/>
      <c r="N12" s="321"/>
      <c r="O12" s="321"/>
      <c r="P12" s="321"/>
      <c r="Q12" s="323" t="e">
        <f>Berechnungstool!$Z$10*A12*60/1000</f>
        <v>#VALUE!</v>
      </c>
      <c r="R12" s="324"/>
      <c r="S12" s="324"/>
      <c r="T12" s="324"/>
      <c r="U12" s="325"/>
      <c r="V12" s="323" t="e">
        <f t="shared" ref="V12:V23" si="2">L12+Q12</f>
        <v>#N/A</v>
      </c>
      <c r="W12" s="324"/>
      <c r="X12" s="324"/>
      <c r="Y12" s="324"/>
      <c r="Z12" s="325"/>
      <c r="AA12" s="321" t="e">
        <f>Berechnungstool!$Z$66/1000*(A12-A11)*60</f>
        <v>#VALUE!</v>
      </c>
      <c r="AB12" s="321"/>
      <c r="AC12" s="321"/>
      <c r="AD12" s="321"/>
      <c r="AE12" s="321" t="e">
        <f t="shared" ref="AE12:AE23" si="3">AE11+AA12</f>
        <v>#VALUE!</v>
      </c>
      <c r="AF12" s="321"/>
      <c r="AG12" s="321"/>
      <c r="AH12" s="321"/>
      <c r="AI12" s="321"/>
      <c r="AJ12" s="320" t="e">
        <f>AND(IF(Berechnungstool!$I$13=0.25,MAX($AN$14:$AT$24),IF(Berechnungstool!$I$13&gt;0.34,MAX($AN$16:$AT$24),MAX($AN$15:$AT$24)))=AN12)</f>
        <v>#N/A</v>
      </c>
      <c r="AK12" s="320"/>
      <c r="AL12" s="320"/>
      <c r="AM12" s="320"/>
      <c r="AN12" s="321" t="e">
        <f t="shared" si="0"/>
        <v>#N/A</v>
      </c>
      <c r="AO12" s="321"/>
      <c r="AP12" s="321"/>
      <c r="AQ12" s="321"/>
      <c r="AR12" s="321"/>
      <c r="AS12" s="321"/>
      <c r="AT12" s="321"/>
    </row>
    <row r="13" spans="1:46" ht="15" customHeight="1" x14ac:dyDescent="0.25">
      <c r="A13" s="320">
        <v>10</v>
      </c>
      <c r="B13" s="320"/>
      <c r="C13" s="321">
        <f t="shared" si="1"/>
        <v>0.16666666666666666</v>
      </c>
      <c r="D13" s="321"/>
      <c r="E13" s="321"/>
      <c r="F13" s="327" t="e">
        <f>VLOOKUP(TRUE,'3'!$N$7:$W$30,5,FALSE)/(C13+VLOOKUP(TRUE,'3'!$N$7:$W$30,8,FALSE))*2.78</f>
        <v>#N/A</v>
      </c>
      <c r="G13" s="327"/>
      <c r="H13" s="327"/>
      <c r="I13" s="327"/>
      <c r="J13" s="327"/>
      <c r="K13" s="327"/>
      <c r="L13" s="321" t="e">
        <f>F13*A13*60/1000*Berechnungstool!$Z$6</f>
        <v>#N/A</v>
      </c>
      <c r="M13" s="321"/>
      <c r="N13" s="321"/>
      <c r="O13" s="321"/>
      <c r="P13" s="321"/>
      <c r="Q13" s="323" t="e">
        <f>Berechnungstool!$Z$10*A13*60/1000</f>
        <v>#VALUE!</v>
      </c>
      <c r="R13" s="324"/>
      <c r="S13" s="324"/>
      <c r="T13" s="324"/>
      <c r="U13" s="325"/>
      <c r="V13" s="323" t="e">
        <f t="shared" si="2"/>
        <v>#N/A</v>
      </c>
      <c r="W13" s="324"/>
      <c r="X13" s="324"/>
      <c r="Y13" s="324"/>
      <c r="Z13" s="325"/>
      <c r="AA13" s="321" t="e">
        <f>Berechnungstool!$Z$66/1000*(A13-A12)*60</f>
        <v>#VALUE!</v>
      </c>
      <c r="AB13" s="321"/>
      <c r="AC13" s="321"/>
      <c r="AD13" s="321"/>
      <c r="AE13" s="321" t="e">
        <f t="shared" si="3"/>
        <v>#VALUE!</v>
      </c>
      <c r="AF13" s="321"/>
      <c r="AG13" s="321"/>
      <c r="AH13" s="321"/>
      <c r="AI13" s="321"/>
      <c r="AJ13" s="320" t="e">
        <f>AND(IF(Berechnungstool!$I$13=0.25,MAX($AN$14:$AT$24),IF(Berechnungstool!$I$13&gt;0.34,MAX($AN$16:$AT$24),MAX($AN$15:$AT$24)))=AN13)</f>
        <v>#N/A</v>
      </c>
      <c r="AK13" s="320"/>
      <c r="AL13" s="320"/>
      <c r="AM13" s="320"/>
      <c r="AN13" s="321" t="e">
        <f t="shared" si="0"/>
        <v>#N/A</v>
      </c>
      <c r="AO13" s="321"/>
      <c r="AP13" s="321"/>
      <c r="AQ13" s="321"/>
      <c r="AR13" s="321"/>
      <c r="AS13" s="321"/>
      <c r="AT13" s="321"/>
    </row>
    <row r="14" spans="1:46" ht="15" customHeight="1" x14ac:dyDescent="0.25">
      <c r="A14" s="254">
        <v>15</v>
      </c>
      <c r="B14" s="254"/>
      <c r="C14" s="313">
        <f t="shared" si="1"/>
        <v>0.25</v>
      </c>
      <c r="D14" s="313"/>
      <c r="E14" s="313"/>
      <c r="F14" s="328" t="e">
        <f>VLOOKUP(TRUE,'3'!$N$7:$W$30,5,FALSE)/(C14+VLOOKUP(TRUE,'3'!$N$7:$W$30,8,FALSE))*2.78</f>
        <v>#N/A</v>
      </c>
      <c r="G14" s="328"/>
      <c r="H14" s="328"/>
      <c r="I14" s="328"/>
      <c r="J14" s="328"/>
      <c r="K14" s="328"/>
      <c r="L14" s="313" t="e">
        <f>F14*A14*60/1000*Berechnungstool!$Z$6</f>
        <v>#N/A</v>
      </c>
      <c r="M14" s="313"/>
      <c r="N14" s="313"/>
      <c r="O14" s="313"/>
      <c r="P14" s="313"/>
      <c r="Q14" s="329" t="e">
        <f>Berechnungstool!$Z$10*A14*60/1000</f>
        <v>#VALUE!</v>
      </c>
      <c r="R14" s="257"/>
      <c r="S14" s="257"/>
      <c r="T14" s="257"/>
      <c r="U14" s="258"/>
      <c r="V14" s="329" t="e">
        <f t="shared" si="2"/>
        <v>#N/A</v>
      </c>
      <c r="W14" s="257"/>
      <c r="X14" s="257"/>
      <c r="Y14" s="257"/>
      <c r="Z14" s="258"/>
      <c r="AA14" s="313" t="e">
        <f>Berechnungstool!$Z$66/1000*(A14-A13)*60</f>
        <v>#VALUE!</v>
      </c>
      <c r="AB14" s="313"/>
      <c r="AC14" s="313"/>
      <c r="AD14" s="313"/>
      <c r="AE14" s="313" t="e">
        <f t="shared" si="3"/>
        <v>#VALUE!</v>
      </c>
      <c r="AF14" s="313"/>
      <c r="AG14" s="313"/>
      <c r="AH14" s="313"/>
      <c r="AI14" s="313"/>
      <c r="AJ14" s="254" t="e">
        <f>AND(IF(Berechnungstool!$I$13=0.25,MAX($AN$14:$AT$24),IF(Berechnungstool!$I$13&gt;0.34,MAX($AN$16:$AT$24),MAX($AN$15:$AT$24)))=AN14)</f>
        <v>#N/A</v>
      </c>
      <c r="AK14" s="254"/>
      <c r="AL14" s="254"/>
      <c r="AM14" s="254"/>
      <c r="AN14" s="313" t="e">
        <f t="shared" si="0"/>
        <v>#N/A</v>
      </c>
      <c r="AO14" s="313"/>
      <c r="AP14" s="313"/>
      <c r="AQ14" s="313"/>
      <c r="AR14" s="313"/>
      <c r="AS14" s="313"/>
      <c r="AT14" s="313"/>
    </row>
    <row r="15" spans="1:46" ht="15" customHeight="1" x14ac:dyDescent="0.25">
      <c r="A15" s="254">
        <v>20</v>
      </c>
      <c r="B15" s="254"/>
      <c r="C15" s="313">
        <f t="shared" si="1"/>
        <v>0.33333333333333331</v>
      </c>
      <c r="D15" s="313"/>
      <c r="E15" s="313"/>
      <c r="F15" s="328" t="e">
        <f>VLOOKUP(TRUE,'3'!$N$7:$W$30,5,FALSE)/(C15+VLOOKUP(TRUE,'3'!$N$7:$W$30,8,FALSE))*2.78</f>
        <v>#N/A</v>
      </c>
      <c r="G15" s="328"/>
      <c r="H15" s="328"/>
      <c r="I15" s="328"/>
      <c r="J15" s="328"/>
      <c r="K15" s="328"/>
      <c r="L15" s="313" t="e">
        <f>F15*A15*60/1000*Berechnungstool!$Z$6</f>
        <v>#N/A</v>
      </c>
      <c r="M15" s="313"/>
      <c r="N15" s="313"/>
      <c r="O15" s="313"/>
      <c r="P15" s="313"/>
      <c r="Q15" s="329" t="e">
        <f>Berechnungstool!$Z$10*A15*60/1000</f>
        <v>#VALUE!</v>
      </c>
      <c r="R15" s="257"/>
      <c r="S15" s="257"/>
      <c r="T15" s="257"/>
      <c r="U15" s="258"/>
      <c r="V15" s="329" t="e">
        <f t="shared" si="2"/>
        <v>#N/A</v>
      </c>
      <c r="W15" s="257"/>
      <c r="X15" s="257"/>
      <c r="Y15" s="257"/>
      <c r="Z15" s="258"/>
      <c r="AA15" s="313" t="e">
        <f>Berechnungstool!$Z$66/1000*(A15-A14)*60</f>
        <v>#VALUE!</v>
      </c>
      <c r="AB15" s="313"/>
      <c r="AC15" s="313"/>
      <c r="AD15" s="313"/>
      <c r="AE15" s="313" t="e">
        <f t="shared" si="3"/>
        <v>#VALUE!</v>
      </c>
      <c r="AF15" s="313"/>
      <c r="AG15" s="313"/>
      <c r="AH15" s="313"/>
      <c r="AI15" s="313"/>
      <c r="AJ15" s="254" t="e">
        <f>AND(IF(Berechnungstool!$I$13=0.25,MAX($AN$14:$AT$24),IF(Berechnungstool!$I$13&gt;0.34,MAX($AN$16:$AT$24),MAX($AN$15:$AT$24)))=AN15)</f>
        <v>#N/A</v>
      </c>
      <c r="AK15" s="254"/>
      <c r="AL15" s="254"/>
      <c r="AM15" s="254"/>
      <c r="AN15" s="313" t="e">
        <f t="shared" si="0"/>
        <v>#N/A</v>
      </c>
      <c r="AO15" s="313"/>
      <c r="AP15" s="313"/>
      <c r="AQ15" s="313"/>
      <c r="AR15" s="313"/>
      <c r="AS15" s="313"/>
      <c r="AT15" s="313"/>
    </row>
    <row r="16" spans="1:46" ht="15" customHeight="1" x14ac:dyDescent="0.25">
      <c r="A16" s="254">
        <v>25</v>
      </c>
      <c r="B16" s="254"/>
      <c r="C16" s="313">
        <f t="shared" si="1"/>
        <v>0.41666666666666669</v>
      </c>
      <c r="D16" s="313"/>
      <c r="E16" s="313"/>
      <c r="F16" s="328" t="e">
        <f>VLOOKUP(TRUE,'3'!$N$7:$W$30,5,FALSE)/(C16+VLOOKUP(TRUE,'3'!$N$7:$W$30,8,FALSE))*2.78</f>
        <v>#N/A</v>
      </c>
      <c r="G16" s="328"/>
      <c r="H16" s="328"/>
      <c r="I16" s="328"/>
      <c r="J16" s="328"/>
      <c r="K16" s="328"/>
      <c r="L16" s="313" t="e">
        <f>F16*A16*60/1000*Berechnungstool!$Z$6</f>
        <v>#N/A</v>
      </c>
      <c r="M16" s="313"/>
      <c r="N16" s="313"/>
      <c r="O16" s="313"/>
      <c r="P16" s="313"/>
      <c r="Q16" s="329" t="e">
        <f>Berechnungstool!$Z$10*A16*60/1000</f>
        <v>#VALUE!</v>
      </c>
      <c r="R16" s="257"/>
      <c r="S16" s="257"/>
      <c r="T16" s="257"/>
      <c r="U16" s="258"/>
      <c r="V16" s="329" t="e">
        <f t="shared" si="2"/>
        <v>#N/A</v>
      </c>
      <c r="W16" s="257"/>
      <c r="X16" s="257"/>
      <c r="Y16" s="257"/>
      <c r="Z16" s="258"/>
      <c r="AA16" s="313" t="e">
        <f>Berechnungstool!$Z$66/1000*(A16-A15)*60</f>
        <v>#VALUE!</v>
      </c>
      <c r="AB16" s="313"/>
      <c r="AC16" s="313"/>
      <c r="AD16" s="313"/>
      <c r="AE16" s="313" t="e">
        <f t="shared" si="3"/>
        <v>#VALUE!</v>
      </c>
      <c r="AF16" s="313"/>
      <c r="AG16" s="313"/>
      <c r="AH16" s="313"/>
      <c r="AI16" s="313"/>
      <c r="AJ16" s="254" t="e">
        <f>AND(IF(Berechnungstool!$I$13=0.25,MAX($AN$14:$AT$24),IF(Berechnungstool!$I$13&gt;0.34,MAX($AN$16:$AT$24),MAX($AN$15:$AT$24)))=AN16)</f>
        <v>#N/A</v>
      </c>
      <c r="AK16" s="254"/>
      <c r="AL16" s="254"/>
      <c r="AM16" s="254"/>
      <c r="AN16" s="313" t="e">
        <f t="shared" si="0"/>
        <v>#N/A</v>
      </c>
      <c r="AO16" s="313"/>
      <c r="AP16" s="313"/>
      <c r="AQ16" s="313"/>
      <c r="AR16" s="313"/>
      <c r="AS16" s="313"/>
      <c r="AT16" s="313"/>
    </row>
    <row r="17" spans="1:46" ht="15" customHeight="1" x14ac:dyDescent="0.25">
      <c r="A17" s="254">
        <v>30</v>
      </c>
      <c r="B17" s="254"/>
      <c r="C17" s="313">
        <f t="shared" si="1"/>
        <v>0.5</v>
      </c>
      <c r="D17" s="313"/>
      <c r="E17" s="313"/>
      <c r="F17" s="328" t="e">
        <f>VLOOKUP(TRUE,'3'!$N$7:$W$30,5,FALSE)/(C17+VLOOKUP(TRUE,'3'!$N$7:$W$30,8,FALSE))*2.78</f>
        <v>#N/A</v>
      </c>
      <c r="G17" s="328"/>
      <c r="H17" s="328"/>
      <c r="I17" s="328"/>
      <c r="J17" s="328"/>
      <c r="K17" s="328"/>
      <c r="L17" s="313" t="e">
        <f>F17*A17*60/1000*Berechnungstool!$Z$6</f>
        <v>#N/A</v>
      </c>
      <c r="M17" s="313"/>
      <c r="N17" s="313"/>
      <c r="O17" s="313"/>
      <c r="P17" s="313"/>
      <c r="Q17" s="329" t="e">
        <f>Berechnungstool!$Z$10*A17*60/1000</f>
        <v>#VALUE!</v>
      </c>
      <c r="R17" s="257"/>
      <c r="S17" s="257"/>
      <c r="T17" s="257"/>
      <c r="U17" s="258"/>
      <c r="V17" s="329" t="e">
        <f t="shared" si="2"/>
        <v>#N/A</v>
      </c>
      <c r="W17" s="257"/>
      <c r="X17" s="257"/>
      <c r="Y17" s="257"/>
      <c r="Z17" s="258"/>
      <c r="AA17" s="313" t="e">
        <f>Berechnungstool!$Z$66/1000*(A17-A16)*60</f>
        <v>#VALUE!</v>
      </c>
      <c r="AB17" s="313"/>
      <c r="AC17" s="313"/>
      <c r="AD17" s="313"/>
      <c r="AE17" s="313" t="e">
        <f t="shared" si="3"/>
        <v>#VALUE!</v>
      </c>
      <c r="AF17" s="313"/>
      <c r="AG17" s="313"/>
      <c r="AH17" s="313"/>
      <c r="AI17" s="313"/>
      <c r="AJ17" s="254" t="e">
        <f>AND(IF(Berechnungstool!$I$13=0.25,MAX($AN$14:$AT$24),IF(Berechnungstool!$I$13&gt;0.34,MAX($AN$16:$AT$24),MAX($AN$15:$AT$24)))=AN17)</f>
        <v>#N/A</v>
      </c>
      <c r="AK17" s="254"/>
      <c r="AL17" s="254"/>
      <c r="AM17" s="254"/>
      <c r="AN17" s="313" t="e">
        <f t="shared" si="0"/>
        <v>#N/A</v>
      </c>
      <c r="AO17" s="313"/>
      <c r="AP17" s="313"/>
      <c r="AQ17" s="313"/>
      <c r="AR17" s="313"/>
      <c r="AS17" s="313"/>
      <c r="AT17" s="313"/>
    </row>
    <row r="18" spans="1:46" ht="15" customHeight="1" x14ac:dyDescent="0.25">
      <c r="A18" s="254">
        <v>35</v>
      </c>
      <c r="B18" s="254"/>
      <c r="C18" s="313">
        <f t="shared" ref="C18:C22" si="4">A18/60</f>
        <v>0.58333333333333337</v>
      </c>
      <c r="D18" s="313"/>
      <c r="E18" s="313"/>
      <c r="F18" s="328" t="e">
        <f>VLOOKUP(TRUE,'3'!$N$7:$W$30,5,FALSE)/(C18+VLOOKUP(TRUE,'3'!$N$7:$W$30,8,FALSE))*2.78</f>
        <v>#N/A</v>
      </c>
      <c r="G18" s="328"/>
      <c r="H18" s="328"/>
      <c r="I18" s="328"/>
      <c r="J18" s="328"/>
      <c r="K18" s="328"/>
      <c r="L18" s="313" t="e">
        <f>F18*A18*60/1000*Berechnungstool!$Z$6</f>
        <v>#N/A</v>
      </c>
      <c r="M18" s="313"/>
      <c r="N18" s="313"/>
      <c r="O18" s="313"/>
      <c r="P18" s="313"/>
      <c r="Q18" s="329" t="e">
        <f>Berechnungstool!$Z$10*A18*60/1000</f>
        <v>#VALUE!</v>
      </c>
      <c r="R18" s="257"/>
      <c r="S18" s="257"/>
      <c r="T18" s="257"/>
      <c r="U18" s="258"/>
      <c r="V18" s="329" t="e">
        <f t="shared" si="2"/>
        <v>#N/A</v>
      </c>
      <c r="W18" s="257"/>
      <c r="X18" s="257"/>
      <c r="Y18" s="257"/>
      <c r="Z18" s="258"/>
      <c r="AA18" s="313" t="e">
        <f>Berechnungstool!$Z$66/1000*(A18-A17)*60</f>
        <v>#VALUE!</v>
      </c>
      <c r="AB18" s="313"/>
      <c r="AC18" s="313"/>
      <c r="AD18" s="313"/>
      <c r="AE18" s="313" t="e">
        <f t="shared" si="3"/>
        <v>#VALUE!</v>
      </c>
      <c r="AF18" s="313"/>
      <c r="AG18" s="313"/>
      <c r="AH18" s="313"/>
      <c r="AI18" s="313"/>
      <c r="AJ18" s="254" t="e">
        <f>AND(IF(Berechnungstool!$I$13=0.25,MAX($AN$14:$AT$24),IF(Berechnungstool!$I$13&gt;0.34,MAX($AN$16:$AT$24),MAX($AN$15:$AT$24)))=AN18)</f>
        <v>#N/A</v>
      </c>
      <c r="AK18" s="254"/>
      <c r="AL18" s="254"/>
      <c r="AM18" s="254"/>
      <c r="AN18" s="313" t="e">
        <f t="shared" si="0"/>
        <v>#N/A</v>
      </c>
      <c r="AO18" s="313"/>
      <c r="AP18" s="313"/>
      <c r="AQ18" s="313"/>
      <c r="AR18" s="313"/>
      <c r="AS18" s="313"/>
      <c r="AT18" s="313"/>
    </row>
    <row r="19" spans="1:46" ht="15" customHeight="1" x14ac:dyDescent="0.25">
      <c r="A19" s="254">
        <v>40</v>
      </c>
      <c r="B19" s="254"/>
      <c r="C19" s="313">
        <f t="shared" si="4"/>
        <v>0.66666666666666663</v>
      </c>
      <c r="D19" s="313"/>
      <c r="E19" s="313"/>
      <c r="F19" s="328" t="e">
        <f>VLOOKUP(TRUE,'3'!$N$7:$W$30,5,FALSE)/(C19+VLOOKUP(TRUE,'3'!$N$7:$W$30,8,FALSE))*2.78</f>
        <v>#N/A</v>
      </c>
      <c r="G19" s="328"/>
      <c r="H19" s="328"/>
      <c r="I19" s="328"/>
      <c r="J19" s="328"/>
      <c r="K19" s="328"/>
      <c r="L19" s="313" t="e">
        <f>F19*A19*60/1000*Berechnungstool!$Z$6</f>
        <v>#N/A</v>
      </c>
      <c r="M19" s="313"/>
      <c r="N19" s="313"/>
      <c r="O19" s="313"/>
      <c r="P19" s="313"/>
      <c r="Q19" s="329" t="e">
        <f>Berechnungstool!$Z$10*A19*60/1000</f>
        <v>#VALUE!</v>
      </c>
      <c r="R19" s="257"/>
      <c r="S19" s="257"/>
      <c r="T19" s="257"/>
      <c r="U19" s="258"/>
      <c r="V19" s="329" t="e">
        <f t="shared" si="2"/>
        <v>#N/A</v>
      </c>
      <c r="W19" s="257"/>
      <c r="X19" s="257"/>
      <c r="Y19" s="257"/>
      <c r="Z19" s="258"/>
      <c r="AA19" s="313" t="e">
        <f>Berechnungstool!$Z$66/1000*(A19-A18)*60</f>
        <v>#VALUE!</v>
      </c>
      <c r="AB19" s="313"/>
      <c r="AC19" s="313"/>
      <c r="AD19" s="313"/>
      <c r="AE19" s="313" t="e">
        <f t="shared" si="3"/>
        <v>#VALUE!</v>
      </c>
      <c r="AF19" s="313"/>
      <c r="AG19" s="313"/>
      <c r="AH19" s="313"/>
      <c r="AI19" s="313"/>
      <c r="AJ19" s="254" t="e">
        <f>AND(IF(Berechnungstool!$I$13=0.25,MAX($AN$14:$AT$24),IF(Berechnungstool!$I$13&gt;0.34,MAX($AN$16:$AT$24),MAX($AN$15:$AT$24)))=AN19)</f>
        <v>#N/A</v>
      </c>
      <c r="AK19" s="254"/>
      <c r="AL19" s="254"/>
      <c r="AM19" s="254"/>
      <c r="AN19" s="313" t="e">
        <f t="shared" si="0"/>
        <v>#N/A</v>
      </c>
      <c r="AO19" s="313"/>
      <c r="AP19" s="313"/>
      <c r="AQ19" s="313"/>
      <c r="AR19" s="313"/>
      <c r="AS19" s="313"/>
      <c r="AT19" s="313"/>
    </row>
    <row r="20" spans="1:46" ht="15" customHeight="1" x14ac:dyDescent="0.25">
      <c r="A20" s="254">
        <v>45</v>
      </c>
      <c r="B20" s="254"/>
      <c r="C20" s="313">
        <f t="shared" si="4"/>
        <v>0.75</v>
      </c>
      <c r="D20" s="313"/>
      <c r="E20" s="313"/>
      <c r="F20" s="328" t="e">
        <f>VLOOKUP(TRUE,'3'!$N$7:$W$30,5,FALSE)/(C20+VLOOKUP(TRUE,'3'!$N$7:$W$30,8,FALSE))*2.78</f>
        <v>#N/A</v>
      </c>
      <c r="G20" s="328"/>
      <c r="H20" s="328"/>
      <c r="I20" s="328"/>
      <c r="J20" s="328"/>
      <c r="K20" s="328"/>
      <c r="L20" s="313" t="e">
        <f>F20*A20*60/1000*Berechnungstool!$Z$6</f>
        <v>#N/A</v>
      </c>
      <c r="M20" s="313"/>
      <c r="N20" s="313"/>
      <c r="O20" s="313"/>
      <c r="P20" s="313"/>
      <c r="Q20" s="329" t="e">
        <f>Berechnungstool!$Z$10*A20*60/1000</f>
        <v>#VALUE!</v>
      </c>
      <c r="R20" s="257"/>
      <c r="S20" s="257"/>
      <c r="T20" s="257"/>
      <c r="U20" s="258"/>
      <c r="V20" s="329" t="e">
        <f t="shared" si="2"/>
        <v>#N/A</v>
      </c>
      <c r="W20" s="257"/>
      <c r="X20" s="257"/>
      <c r="Y20" s="257"/>
      <c r="Z20" s="258"/>
      <c r="AA20" s="313" t="e">
        <f>Berechnungstool!$Z$66/1000*(A20-A19)*60</f>
        <v>#VALUE!</v>
      </c>
      <c r="AB20" s="313"/>
      <c r="AC20" s="313"/>
      <c r="AD20" s="313"/>
      <c r="AE20" s="313" t="e">
        <f t="shared" si="3"/>
        <v>#VALUE!</v>
      </c>
      <c r="AF20" s="313"/>
      <c r="AG20" s="313"/>
      <c r="AH20" s="313"/>
      <c r="AI20" s="313"/>
      <c r="AJ20" s="254" t="e">
        <f>AND(IF(Berechnungstool!$I$13=0.25,MAX($AN$14:$AT$24),IF(Berechnungstool!$I$13&gt;0.34,MAX($AN$16:$AT$24),MAX($AN$15:$AT$24)))=AN20)</f>
        <v>#N/A</v>
      </c>
      <c r="AK20" s="254"/>
      <c r="AL20" s="254"/>
      <c r="AM20" s="254"/>
      <c r="AN20" s="313" t="e">
        <f t="shared" si="0"/>
        <v>#N/A</v>
      </c>
      <c r="AO20" s="313"/>
      <c r="AP20" s="313"/>
      <c r="AQ20" s="313"/>
      <c r="AR20" s="313"/>
      <c r="AS20" s="313"/>
      <c r="AT20" s="313"/>
    </row>
    <row r="21" spans="1:46" ht="15" customHeight="1" x14ac:dyDescent="0.25">
      <c r="A21" s="254">
        <v>50</v>
      </c>
      <c r="B21" s="254"/>
      <c r="C21" s="313">
        <f t="shared" si="4"/>
        <v>0.83333333333333337</v>
      </c>
      <c r="D21" s="313"/>
      <c r="E21" s="313"/>
      <c r="F21" s="328" t="e">
        <f>VLOOKUP(TRUE,'3'!$N$7:$W$30,5,FALSE)/(C21+VLOOKUP(TRUE,'3'!$N$7:$W$30,8,FALSE))*2.78</f>
        <v>#N/A</v>
      </c>
      <c r="G21" s="328"/>
      <c r="H21" s="328"/>
      <c r="I21" s="328"/>
      <c r="J21" s="328"/>
      <c r="K21" s="328"/>
      <c r="L21" s="313" t="e">
        <f>F21*A21*60/1000*Berechnungstool!$Z$6</f>
        <v>#N/A</v>
      </c>
      <c r="M21" s="313"/>
      <c r="N21" s="313"/>
      <c r="O21" s="313"/>
      <c r="P21" s="313"/>
      <c r="Q21" s="329" t="e">
        <f>Berechnungstool!$Z$10*A21*60/1000</f>
        <v>#VALUE!</v>
      </c>
      <c r="R21" s="257"/>
      <c r="S21" s="257"/>
      <c r="T21" s="257"/>
      <c r="U21" s="258"/>
      <c r="V21" s="329" t="e">
        <f t="shared" si="2"/>
        <v>#N/A</v>
      </c>
      <c r="W21" s="257"/>
      <c r="X21" s="257"/>
      <c r="Y21" s="257"/>
      <c r="Z21" s="258"/>
      <c r="AA21" s="313" t="e">
        <f>Berechnungstool!$Z$66/1000*(A21-A20)*60</f>
        <v>#VALUE!</v>
      </c>
      <c r="AB21" s="313"/>
      <c r="AC21" s="313"/>
      <c r="AD21" s="313"/>
      <c r="AE21" s="313" t="e">
        <f t="shared" si="3"/>
        <v>#VALUE!</v>
      </c>
      <c r="AF21" s="313"/>
      <c r="AG21" s="313"/>
      <c r="AH21" s="313"/>
      <c r="AI21" s="313"/>
      <c r="AJ21" s="254" t="e">
        <f>AND(IF(Berechnungstool!$I$13=0.25,MAX($AN$14:$AT$24),IF(Berechnungstool!$I$13&gt;0.34,MAX($AN$16:$AT$24),MAX($AN$15:$AT$24)))=AN21)</f>
        <v>#N/A</v>
      </c>
      <c r="AK21" s="254"/>
      <c r="AL21" s="254"/>
      <c r="AM21" s="254"/>
      <c r="AN21" s="313" t="e">
        <f t="shared" si="0"/>
        <v>#N/A</v>
      </c>
      <c r="AO21" s="313"/>
      <c r="AP21" s="313"/>
      <c r="AQ21" s="313"/>
      <c r="AR21" s="313"/>
      <c r="AS21" s="313"/>
      <c r="AT21" s="313"/>
    </row>
    <row r="22" spans="1:46" ht="15" customHeight="1" x14ac:dyDescent="0.25">
      <c r="A22" s="254">
        <v>55</v>
      </c>
      <c r="B22" s="254"/>
      <c r="C22" s="313">
        <f t="shared" si="4"/>
        <v>0.91666666666666663</v>
      </c>
      <c r="D22" s="313"/>
      <c r="E22" s="313"/>
      <c r="F22" s="328" t="e">
        <f>VLOOKUP(TRUE,'3'!$N$7:$W$30,5,FALSE)/(C22+VLOOKUP(TRUE,'3'!$N$7:$W$30,8,FALSE))*2.78</f>
        <v>#N/A</v>
      </c>
      <c r="G22" s="328"/>
      <c r="H22" s="328"/>
      <c r="I22" s="328"/>
      <c r="J22" s="328"/>
      <c r="K22" s="328"/>
      <c r="L22" s="313" t="e">
        <f>F22*A22*60/1000*Berechnungstool!$Z$6</f>
        <v>#N/A</v>
      </c>
      <c r="M22" s="313"/>
      <c r="N22" s="313"/>
      <c r="O22" s="313"/>
      <c r="P22" s="313"/>
      <c r="Q22" s="329" t="e">
        <f>Berechnungstool!$Z$10*A22*60/1000</f>
        <v>#VALUE!</v>
      </c>
      <c r="R22" s="257"/>
      <c r="S22" s="257"/>
      <c r="T22" s="257"/>
      <c r="U22" s="258"/>
      <c r="V22" s="329" t="e">
        <f t="shared" si="2"/>
        <v>#N/A</v>
      </c>
      <c r="W22" s="257"/>
      <c r="X22" s="257"/>
      <c r="Y22" s="257"/>
      <c r="Z22" s="258"/>
      <c r="AA22" s="313" t="e">
        <f>Berechnungstool!$Z$66/1000*(A22-A21)*60</f>
        <v>#VALUE!</v>
      </c>
      <c r="AB22" s="313"/>
      <c r="AC22" s="313"/>
      <c r="AD22" s="313"/>
      <c r="AE22" s="313" t="e">
        <f t="shared" si="3"/>
        <v>#VALUE!</v>
      </c>
      <c r="AF22" s="313"/>
      <c r="AG22" s="313"/>
      <c r="AH22" s="313"/>
      <c r="AI22" s="313"/>
      <c r="AJ22" s="254" t="e">
        <f>AND(IF(Berechnungstool!$I$13=0.25,MAX($AN$14:$AT$24),IF(Berechnungstool!$I$13&gt;0.34,MAX($AN$16:$AT$24),MAX($AN$15:$AT$24)))=AN22)</f>
        <v>#N/A</v>
      </c>
      <c r="AK22" s="254"/>
      <c r="AL22" s="254"/>
      <c r="AM22" s="254"/>
      <c r="AN22" s="313" t="e">
        <f t="shared" si="0"/>
        <v>#N/A</v>
      </c>
      <c r="AO22" s="313"/>
      <c r="AP22" s="313"/>
      <c r="AQ22" s="313"/>
      <c r="AR22" s="313"/>
      <c r="AS22" s="313"/>
      <c r="AT22" s="313"/>
    </row>
    <row r="23" spans="1:46" ht="15" customHeight="1" x14ac:dyDescent="0.25">
      <c r="A23" s="254">
        <v>60</v>
      </c>
      <c r="B23" s="254"/>
      <c r="C23" s="313">
        <f t="shared" ref="C23" si="5">A23/60</f>
        <v>1</v>
      </c>
      <c r="D23" s="313"/>
      <c r="E23" s="313"/>
      <c r="F23" s="328" t="e">
        <f>VLOOKUP(TRUE,'3'!$N$7:$W$30,5,FALSE)/(C23+VLOOKUP(TRUE,'3'!$N$7:$W$30,8,FALSE))*2.78</f>
        <v>#N/A</v>
      </c>
      <c r="G23" s="328"/>
      <c r="H23" s="328"/>
      <c r="I23" s="328"/>
      <c r="J23" s="328"/>
      <c r="K23" s="328"/>
      <c r="L23" s="313" t="e">
        <f>F23*A23*60/1000*Berechnungstool!$Z$6</f>
        <v>#N/A</v>
      </c>
      <c r="M23" s="313"/>
      <c r="N23" s="313"/>
      <c r="O23" s="313"/>
      <c r="P23" s="313"/>
      <c r="Q23" s="329" t="e">
        <f>Berechnungstool!$Z$10*A23*60/1000</f>
        <v>#VALUE!</v>
      </c>
      <c r="R23" s="257"/>
      <c r="S23" s="257"/>
      <c r="T23" s="257"/>
      <c r="U23" s="258"/>
      <c r="V23" s="329" t="e">
        <f t="shared" si="2"/>
        <v>#N/A</v>
      </c>
      <c r="W23" s="257"/>
      <c r="X23" s="257"/>
      <c r="Y23" s="257"/>
      <c r="Z23" s="258"/>
      <c r="AA23" s="313" t="e">
        <f>Berechnungstool!$Z$66/1000*(A23-A22)*60</f>
        <v>#VALUE!</v>
      </c>
      <c r="AB23" s="313"/>
      <c r="AC23" s="313"/>
      <c r="AD23" s="313"/>
      <c r="AE23" s="313" t="e">
        <f t="shared" si="3"/>
        <v>#VALUE!</v>
      </c>
      <c r="AF23" s="313"/>
      <c r="AG23" s="313"/>
      <c r="AH23" s="313"/>
      <c r="AI23" s="313"/>
      <c r="AJ23" s="254" t="e">
        <f>AND(IF(Berechnungstool!$I$13=0.25,MAX($AN$14:$AT$24),IF(Berechnungstool!$I$13&gt;0.34,MAX($AN$16:$AT$24),MAX($AN$15:$AT$24)))=AN23)</f>
        <v>#N/A</v>
      </c>
      <c r="AK23" s="254"/>
      <c r="AL23" s="254"/>
      <c r="AM23" s="254"/>
      <c r="AN23" s="313" t="e">
        <f t="shared" si="0"/>
        <v>#N/A</v>
      </c>
      <c r="AO23" s="313"/>
      <c r="AP23" s="313"/>
      <c r="AQ23" s="313"/>
      <c r="AR23" s="313"/>
      <c r="AS23" s="313"/>
      <c r="AT23" s="313"/>
    </row>
    <row r="24" spans="1:46" ht="15" customHeight="1" x14ac:dyDescent="0.25">
      <c r="A24" s="320">
        <v>65</v>
      </c>
      <c r="B24" s="320"/>
      <c r="C24" s="321">
        <f t="shared" ref="C24" si="6">A24/60</f>
        <v>1.0833333333333333</v>
      </c>
      <c r="D24" s="321"/>
      <c r="E24" s="321"/>
      <c r="F24" s="327" t="e">
        <f>VLOOKUP(TRUE,'3'!$N$7:$W$30,5,FALSE)/(C24+VLOOKUP(TRUE,'3'!$N$7:$W$30,8,FALSE))*2.78</f>
        <v>#N/A</v>
      </c>
      <c r="G24" s="327"/>
      <c r="H24" s="327"/>
      <c r="I24" s="327"/>
      <c r="J24" s="327"/>
      <c r="K24" s="327"/>
      <c r="L24" s="321" t="e">
        <f>F24*A24*60/1000*Berechnungstool!$Z$6</f>
        <v>#N/A</v>
      </c>
      <c r="M24" s="321"/>
      <c r="N24" s="321"/>
      <c r="O24" s="321"/>
      <c r="P24" s="321"/>
      <c r="Q24" s="323" t="e">
        <f>Berechnungstool!$Z$10*A24*60/1000</f>
        <v>#VALUE!</v>
      </c>
      <c r="R24" s="324"/>
      <c r="S24" s="324"/>
      <c r="T24" s="324"/>
      <c r="U24" s="325"/>
      <c r="V24" s="323" t="e">
        <f t="shared" ref="V24" si="7">L24+Q24</f>
        <v>#N/A</v>
      </c>
      <c r="W24" s="324"/>
      <c r="X24" s="324"/>
      <c r="Y24" s="324"/>
      <c r="Z24" s="325"/>
      <c r="AA24" s="321" t="e">
        <f>Berechnungstool!$Z$66/1000*(A24-A23)*60</f>
        <v>#VALUE!</v>
      </c>
      <c r="AB24" s="321"/>
      <c r="AC24" s="321"/>
      <c r="AD24" s="321"/>
      <c r="AE24" s="321" t="e">
        <f t="shared" ref="AE24" si="8">AE23+AA24</f>
        <v>#VALUE!</v>
      </c>
      <c r="AF24" s="321"/>
      <c r="AG24" s="321"/>
      <c r="AH24" s="321"/>
      <c r="AI24" s="321"/>
      <c r="AJ24" s="320" t="e">
        <f>AND(IF(Berechnungstool!$I$13=0.25,MAX($AN$14:$AT$24),IF(Berechnungstool!$I$13&gt;0.34,MAX($AN$16:$AT$24),MAX($AN$15:$AT$24)))=AN24)</f>
        <v>#N/A</v>
      </c>
      <c r="AK24" s="320"/>
      <c r="AL24" s="320"/>
      <c r="AM24" s="320"/>
      <c r="AN24" s="321" t="e">
        <f t="shared" ref="AN24" si="9">IF(V24-AE24&lt;0,0,V24-AE24)</f>
        <v>#N/A</v>
      </c>
      <c r="AO24" s="321"/>
      <c r="AP24" s="321"/>
      <c r="AQ24" s="321"/>
      <c r="AR24" s="321"/>
      <c r="AS24" s="321"/>
      <c r="AT24" s="321"/>
    </row>
    <row r="25" spans="1:46" ht="15" customHeight="1" x14ac:dyDescent="0.25">
      <c r="A25" s="85"/>
      <c r="B25" s="85"/>
      <c r="C25" s="86"/>
      <c r="D25" s="86"/>
      <c r="E25" s="86"/>
      <c r="F25" s="87"/>
      <c r="G25" s="87"/>
      <c r="H25" s="87"/>
      <c r="I25" s="87"/>
      <c r="J25" s="87"/>
      <c r="K25" s="87"/>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row>
    <row r="26" spans="1:46" ht="15" customHeight="1" x14ac:dyDescent="0.25">
      <c r="A26" s="332" t="s">
        <v>249</v>
      </c>
      <c r="B26" s="332"/>
      <c r="C26" s="332"/>
      <c r="D26" s="332"/>
      <c r="E26" s="332"/>
      <c r="F26" s="332"/>
      <c r="G26" s="332"/>
      <c r="H26" s="332"/>
      <c r="I26" s="332"/>
      <c r="J26" s="332"/>
      <c r="K26" s="332"/>
      <c r="L26" s="332"/>
      <c r="M26" s="332"/>
      <c r="N26" s="332"/>
      <c r="O26" s="332"/>
      <c r="P26" s="332"/>
      <c r="Q26" s="332"/>
      <c r="R26" s="332"/>
      <c r="S26" s="332"/>
      <c r="T26" s="332"/>
      <c r="U26" s="332"/>
      <c r="V26" s="332"/>
      <c r="W26" s="332"/>
      <c r="X26" s="332"/>
      <c r="Y26" s="332"/>
      <c r="Z26" s="332"/>
      <c r="AA26" s="332"/>
      <c r="AB26" s="332"/>
      <c r="AC26" s="332"/>
      <c r="AD26" s="332"/>
      <c r="AE26" s="332"/>
      <c r="AF26" s="332"/>
      <c r="AG26" s="332"/>
      <c r="AH26" s="332"/>
      <c r="AI26" s="332"/>
      <c r="AJ26" s="332"/>
      <c r="AK26" s="332"/>
      <c r="AL26" s="332"/>
      <c r="AM26" s="332"/>
      <c r="AN26" s="332"/>
      <c r="AO26" s="332"/>
      <c r="AP26" s="332"/>
      <c r="AQ26" s="332"/>
      <c r="AR26" s="332"/>
      <c r="AS26" s="332"/>
      <c r="AT26" s="332"/>
    </row>
    <row r="27" spans="1:46" ht="15" customHeight="1" x14ac:dyDescent="0.25">
      <c r="A27" s="332"/>
      <c r="B27" s="332"/>
      <c r="C27" s="332"/>
      <c r="D27" s="332"/>
      <c r="E27" s="332"/>
      <c r="F27" s="332"/>
      <c r="G27" s="332"/>
      <c r="H27" s="332"/>
      <c r="I27" s="332"/>
      <c r="J27" s="332"/>
      <c r="K27" s="332"/>
      <c r="L27" s="332"/>
      <c r="M27" s="332"/>
      <c r="N27" s="332"/>
      <c r="O27" s="332"/>
      <c r="P27" s="332"/>
      <c r="Q27" s="332"/>
      <c r="R27" s="332"/>
      <c r="S27" s="332"/>
      <c r="T27" s="332"/>
      <c r="U27" s="332"/>
      <c r="V27" s="332"/>
      <c r="W27" s="332"/>
      <c r="X27" s="332"/>
      <c r="Y27" s="332"/>
      <c r="Z27" s="332"/>
      <c r="AA27" s="332"/>
      <c r="AB27" s="332"/>
      <c r="AC27" s="332"/>
      <c r="AD27" s="332"/>
      <c r="AE27" s="332"/>
      <c r="AF27" s="332"/>
      <c r="AG27" s="332"/>
      <c r="AH27" s="332"/>
      <c r="AI27" s="332"/>
      <c r="AJ27" s="332"/>
      <c r="AK27" s="332"/>
      <c r="AL27" s="332"/>
      <c r="AM27" s="332"/>
      <c r="AN27" s="332"/>
      <c r="AO27" s="332"/>
      <c r="AP27" s="332"/>
      <c r="AQ27" s="332"/>
      <c r="AR27" s="332"/>
      <c r="AS27" s="332"/>
      <c r="AT27" s="332"/>
    </row>
    <row r="28" spans="1:46" ht="15" customHeight="1" x14ac:dyDescent="0.25">
      <c r="A28" s="85"/>
      <c r="B28" s="85"/>
      <c r="C28" s="86"/>
      <c r="D28" s="86"/>
      <c r="E28" s="86"/>
      <c r="F28" s="87"/>
      <c r="G28" s="87"/>
      <c r="H28" s="87"/>
      <c r="I28" s="87"/>
      <c r="J28" s="87"/>
      <c r="K28" s="87"/>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row>
    <row r="29" spans="1:46" ht="15" customHeight="1" x14ac:dyDescent="0.25">
      <c r="A29" s="333" t="s">
        <v>251</v>
      </c>
      <c r="B29" s="333"/>
      <c r="C29" s="333"/>
      <c r="D29" s="333"/>
      <c r="E29" s="333"/>
      <c r="F29" s="333"/>
      <c r="G29" s="333"/>
      <c r="H29" s="333"/>
      <c r="I29" s="333"/>
      <c r="J29" s="333"/>
      <c r="K29" s="333"/>
      <c r="L29" s="333"/>
      <c r="M29" s="333"/>
      <c r="N29" s="333"/>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333"/>
      <c r="AL29" s="333"/>
      <c r="AM29" s="333"/>
      <c r="AN29" s="333"/>
      <c r="AO29" s="333"/>
      <c r="AP29" s="333"/>
      <c r="AQ29" s="333"/>
      <c r="AR29" s="333"/>
      <c r="AS29" s="333"/>
      <c r="AT29" s="333"/>
    </row>
    <row r="30" spans="1:46" ht="15" customHeight="1" x14ac:dyDescent="0.25">
      <c r="A30" s="333"/>
      <c r="B30" s="333"/>
      <c r="C30" s="333"/>
      <c r="D30" s="333"/>
      <c r="E30" s="333"/>
      <c r="F30" s="333"/>
      <c r="G30" s="333"/>
      <c r="H30" s="333"/>
      <c r="I30" s="333"/>
      <c r="J30" s="333"/>
      <c r="K30" s="333"/>
      <c r="L30" s="333"/>
      <c r="M30" s="333"/>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333"/>
      <c r="AL30" s="333"/>
      <c r="AM30" s="333"/>
      <c r="AN30" s="333"/>
      <c r="AO30" s="333"/>
      <c r="AP30" s="333"/>
      <c r="AQ30" s="333"/>
      <c r="AR30" s="333"/>
      <c r="AS30" s="333"/>
      <c r="AT30" s="333"/>
    </row>
    <row r="31" spans="1:46" ht="15" customHeight="1" x14ac:dyDescent="0.25">
      <c r="A31" s="170"/>
      <c r="B31" s="170"/>
      <c r="C31" s="330"/>
      <c r="D31" s="330"/>
      <c r="E31" s="330"/>
      <c r="F31" s="331"/>
      <c r="G31" s="331"/>
      <c r="H31" s="331"/>
      <c r="I31" s="331"/>
      <c r="J31" s="331"/>
      <c r="K31" s="331"/>
      <c r="L31" s="330"/>
      <c r="M31" s="330"/>
      <c r="N31" s="330"/>
      <c r="O31" s="330"/>
      <c r="P31" s="330"/>
      <c r="Q31" s="86"/>
      <c r="R31" s="86"/>
      <c r="S31" s="86"/>
      <c r="T31" s="86"/>
      <c r="U31" s="86"/>
      <c r="V31" s="330"/>
      <c r="W31" s="330"/>
      <c r="X31" s="330"/>
      <c r="Y31" s="330"/>
      <c r="Z31" s="330"/>
      <c r="AA31" s="330"/>
      <c r="AB31" s="330"/>
      <c r="AC31" s="330"/>
      <c r="AD31" s="330"/>
      <c r="AE31" s="330"/>
      <c r="AF31" s="330"/>
      <c r="AG31" s="330"/>
      <c r="AH31" s="330"/>
      <c r="AI31" s="330"/>
      <c r="AJ31" s="330"/>
      <c r="AK31" s="330"/>
    </row>
  </sheetData>
  <sheetProtection algorithmName="SHA-512" hashValue="yYlFdbmWtdxiCqgSzASf/S2Nh8v3nYy7eE3RlOeat8US27S5hmhh4LYJIFNQLUViBR0bSUJBut5KxwBy84aRAw==" saltValue="qq6fNtF4wqp1RvWkC0KIsQ==" spinCount="100000" sheet="1" objects="1" scenarios="1"/>
  <mergeCells count="173">
    <mergeCell ref="V23:Z23"/>
    <mergeCell ref="F12:K12"/>
    <mergeCell ref="AN23:AT23"/>
    <mergeCell ref="C13:E13"/>
    <mergeCell ref="C15:E15"/>
    <mergeCell ref="C17:E17"/>
    <mergeCell ref="A12:B12"/>
    <mergeCell ref="AJ12:AM12"/>
    <mergeCell ref="AJ13:AM13"/>
    <mergeCell ref="AJ14:AM14"/>
    <mergeCell ref="AJ15:AM15"/>
    <mergeCell ref="AJ16:AM16"/>
    <mergeCell ref="AJ17:AM17"/>
    <mergeCell ref="AJ18:AM18"/>
    <mergeCell ref="AJ19:AM19"/>
    <mergeCell ref="AJ20:AM20"/>
    <mergeCell ref="C12:E12"/>
    <mergeCell ref="C14:E14"/>
    <mergeCell ref="A18:B18"/>
    <mergeCell ref="A16:B16"/>
    <mergeCell ref="A17:B17"/>
    <mergeCell ref="C16:E16"/>
    <mergeCell ref="A13:B13"/>
    <mergeCell ref="A14:B14"/>
    <mergeCell ref="AE31:AK31"/>
    <mergeCell ref="V31:Y31"/>
    <mergeCell ref="L31:P31"/>
    <mergeCell ref="Z31:AD31"/>
    <mergeCell ref="F23:K23"/>
    <mergeCell ref="L23:P23"/>
    <mergeCell ref="AA23:AD23"/>
    <mergeCell ref="AE23:AI23"/>
    <mergeCell ref="Q9:U9"/>
    <mergeCell ref="Q10:U10"/>
    <mergeCell ref="Q11:U11"/>
    <mergeCell ref="Q12:U12"/>
    <mergeCell ref="Q13:U13"/>
    <mergeCell ref="Q14:U14"/>
    <mergeCell ref="Q15:U15"/>
    <mergeCell ref="Q16:U16"/>
    <mergeCell ref="Q17:U17"/>
    <mergeCell ref="AJ21:AM21"/>
    <mergeCell ref="AJ22:AM22"/>
    <mergeCell ref="AJ23:AM23"/>
    <mergeCell ref="V9:Z9"/>
    <mergeCell ref="V10:Z10"/>
    <mergeCell ref="V11:Z11"/>
    <mergeCell ref="V12:Z12"/>
    <mergeCell ref="A10:B10"/>
    <mergeCell ref="C10:E10"/>
    <mergeCell ref="A9:E9"/>
    <mergeCell ref="A11:B11"/>
    <mergeCell ref="C11:E11"/>
    <mergeCell ref="A1:F1"/>
    <mergeCell ref="W1:AB1"/>
    <mergeCell ref="AO1:AT1"/>
    <mergeCell ref="I5:M5"/>
    <mergeCell ref="I7:M7"/>
    <mergeCell ref="F9:K9"/>
    <mergeCell ref="F10:K10"/>
    <mergeCell ref="AA10:AD10"/>
    <mergeCell ref="AE10:AI10"/>
    <mergeCell ref="AA9:AI9"/>
    <mergeCell ref="F11:K11"/>
    <mergeCell ref="I6:M6"/>
    <mergeCell ref="AJ9:AM9"/>
    <mergeCell ref="AJ10:AM10"/>
    <mergeCell ref="AJ11:AM11"/>
    <mergeCell ref="AE11:AI11"/>
    <mergeCell ref="L9:P9"/>
    <mergeCell ref="L10:P10"/>
    <mergeCell ref="L11:P11"/>
    <mergeCell ref="A15:B15"/>
    <mergeCell ref="A31:B31"/>
    <mergeCell ref="C18:E18"/>
    <mergeCell ref="C20:E20"/>
    <mergeCell ref="C22:E22"/>
    <mergeCell ref="C31:E31"/>
    <mergeCell ref="F18:K18"/>
    <mergeCell ref="F19:K19"/>
    <mergeCell ref="F20:K20"/>
    <mergeCell ref="F21:K21"/>
    <mergeCell ref="F22:K22"/>
    <mergeCell ref="A22:B22"/>
    <mergeCell ref="F31:K31"/>
    <mergeCell ref="A21:B21"/>
    <mergeCell ref="C21:E21"/>
    <mergeCell ref="A19:B19"/>
    <mergeCell ref="A20:B20"/>
    <mergeCell ref="C19:E19"/>
    <mergeCell ref="A23:B23"/>
    <mergeCell ref="C23:E23"/>
    <mergeCell ref="A26:AT27"/>
    <mergeCell ref="A29:AT30"/>
    <mergeCell ref="Q23:U23"/>
    <mergeCell ref="V18:Z18"/>
    <mergeCell ref="AA11:AD11"/>
    <mergeCell ref="AA12:AD12"/>
    <mergeCell ref="AA13:AD13"/>
    <mergeCell ref="AA14:AD14"/>
    <mergeCell ref="AA15:AD15"/>
    <mergeCell ref="L20:P20"/>
    <mergeCell ref="L21:P21"/>
    <mergeCell ref="F13:K13"/>
    <mergeCell ref="F14:K14"/>
    <mergeCell ref="F15:K15"/>
    <mergeCell ref="F16:K16"/>
    <mergeCell ref="F17:K17"/>
    <mergeCell ref="L13:P13"/>
    <mergeCell ref="L14:P14"/>
    <mergeCell ref="L15:P15"/>
    <mergeCell ref="L16:P16"/>
    <mergeCell ref="L17:P17"/>
    <mergeCell ref="L12:P12"/>
    <mergeCell ref="V13:Z13"/>
    <mergeCell ref="V14:Z14"/>
    <mergeCell ref="V15:Z15"/>
    <mergeCell ref="V16:Z16"/>
    <mergeCell ref="V17:Z17"/>
    <mergeCell ref="V20:Z20"/>
    <mergeCell ref="L22:P22"/>
    <mergeCell ref="Q18:U18"/>
    <mergeCell ref="Q19:U19"/>
    <mergeCell ref="Q20:U20"/>
    <mergeCell ref="Q21:U21"/>
    <mergeCell ref="Q22:U22"/>
    <mergeCell ref="AE19:AI19"/>
    <mergeCell ref="AE20:AI20"/>
    <mergeCell ref="AE21:AI21"/>
    <mergeCell ref="AE22:AI22"/>
    <mergeCell ref="AA22:AD22"/>
    <mergeCell ref="AA19:AD19"/>
    <mergeCell ref="AA20:AD20"/>
    <mergeCell ref="AA21:AD21"/>
    <mergeCell ref="L18:P18"/>
    <mergeCell ref="L19:P19"/>
    <mergeCell ref="V21:Z21"/>
    <mergeCell ref="V22:Z22"/>
    <mergeCell ref="V19:Z19"/>
    <mergeCell ref="AE12:AI12"/>
    <mergeCell ref="AE13:AI13"/>
    <mergeCell ref="AE14:AI14"/>
    <mergeCell ref="AE15:AI15"/>
    <mergeCell ref="AE16:AI16"/>
    <mergeCell ref="AE17:AI17"/>
    <mergeCell ref="AE18:AI18"/>
    <mergeCell ref="AA16:AD16"/>
    <mergeCell ref="AA17:AD17"/>
    <mergeCell ref="AA18:AD18"/>
    <mergeCell ref="AN18:AT18"/>
    <mergeCell ref="AN19:AT19"/>
    <mergeCell ref="AN20:AT20"/>
    <mergeCell ref="AN21:AT21"/>
    <mergeCell ref="AN22:AT22"/>
    <mergeCell ref="AN9:AT9"/>
    <mergeCell ref="AN10:AT10"/>
    <mergeCell ref="AN11:AT11"/>
    <mergeCell ref="AN12:AT12"/>
    <mergeCell ref="AN13:AT13"/>
    <mergeCell ref="AN14:AT14"/>
    <mergeCell ref="AN15:AT15"/>
    <mergeCell ref="AN16:AT16"/>
    <mergeCell ref="AN17:AT17"/>
    <mergeCell ref="AN24:AT24"/>
    <mergeCell ref="A24:B24"/>
    <mergeCell ref="C24:E24"/>
    <mergeCell ref="F24:K24"/>
    <mergeCell ref="L24:P24"/>
    <mergeCell ref="Q24:U24"/>
    <mergeCell ref="V24:Z24"/>
    <mergeCell ref="AA24:AD24"/>
    <mergeCell ref="AE24:AI24"/>
    <mergeCell ref="AJ24:AM24"/>
  </mergeCells>
  <conditionalFormatting sqref="AJ11:AM24">
    <cfRule type="cellIs" dxfId="5" priority="1" operator="equal">
      <formula>TRUE</formula>
    </cfRule>
  </conditionalFormatting>
  <hyperlinks>
    <hyperlink ref="W1:AB1" location="INDEX!A1" display="🏠 INDEX"/>
    <hyperlink ref="A1:F1" location="'13'!A1" display="13 ◀"/>
  </hyperlinks>
  <pageMargins left="0.7" right="0.7" top="0.78740157499999996" bottom="0.78740157499999996" header="0.3" footer="0.3"/>
  <pageSetup paperSize="9" orientation="landscape" horizontalDpi="90" verticalDpi="90" r:id="rId1"/>
  <headerFooter>
    <oddHeader>&amp;L&amp;"-,Standard"14 - Retentionsvolumen</oddHeader>
  </headerFooter>
  <extLst>
    <ext xmlns:x14="http://schemas.microsoft.com/office/spreadsheetml/2009/9/main" uri="{78C0D931-6437-407d-A8EE-F0AAD7539E65}">
      <x14:conditionalFormattings>
        <x14:conditionalFormatting xmlns:xm="http://schemas.microsoft.com/office/excel/2006/main">
          <x14:cfRule type="expression" priority="7" id="{A60B43B1-5DD5-4168-AF67-9E59498AB5EF}">
            <xm:f>Berechnungstool!$I$13&gt;0.25</xm:f>
            <x14:dxf>
              <fill>
                <patternFill patternType="gray0625"/>
              </fill>
            </x14:dxf>
          </x14:cfRule>
          <xm:sqref>A14:AT14</xm:sqref>
        </x14:conditionalFormatting>
        <x14:conditionalFormatting xmlns:xm="http://schemas.microsoft.com/office/excel/2006/main">
          <x14:cfRule type="expression" priority="6" id="{983E89C5-AA45-4BEE-A2A7-D81EF47400C9}">
            <xm:f>Berechnungstool!$I$13&gt;0.34</xm:f>
            <x14:dxf>
              <fill>
                <patternFill patternType="gray0625"/>
              </fill>
            </x14:dxf>
          </x14:cfRule>
          <xm:sqref>A15:AT15</xm:sqref>
        </x14:conditionalFormatting>
        <x14:conditionalFormatting xmlns:xm="http://schemas.microsoft.com/office/excel/2006/main">
          <x14:cfRule type="expression" priority="5" id="{A808A670-B760-41FE-AF65-544540E42A44}">
            <xm:f>Berechnungstool!$I$13&gt;0.25</xm:f>
            <x14:dxf>
              <fill>
                <patternFill patternType="gray0625"/>
              </fill>
            </x14:dxf>
          </x14:cfRule>
          <xm:sqref>V14:Z14</xm:sqref>
        </x14:conditionalFormatting>
        <x14:conditionalFormatting xmlns:xm="http://schemas.microsoft.com/office/excel/2006/main">
          <x14:cfRule type="expression" priority="3" id="{5EF3EA64-7704-4CCF-82BD-5F2A8342A606}">
            <xm:f>Berechnungstool!$I$13&gt;0.25</xm:f>
            <x14:dxf>
              <fill>
                <patternFill patternType="gray0625"/>
              </fill>
            </x14:dxf>
          </x14:cfRule>
          <xm:sqref>AJ14:AM14</xm:sqref>
        </x14:conditionalFormatting>
        <x14:conditionalFormatting xmlns:xm="http://schemas.microsoft.com/office/excel/2006/main">
          <x14:cfRule type="expression" priority="2" id="{18146006-82B7-4E13-9EEF-FED88D17537C}">
            <xm:f>Berechnungstool!$I$13&gt;0.34</xm:f>
            <x14:dxf>
              <fill>
                <patternFill patternType="gray0625"/>
              </fill>
            </x14:dxf>
          </x14:cfRule>
          <xm:sqref>AJ15:AM15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2:AF124"/>
  <sheetViews>
    <sheetView view="pageLayout" topLeftCell="A25" zoomScaleNormal="100" zoomScaleSheetLayoutView="115" workbookViewId="0">
      <selection activeCell="A44" sqref="A44:AF82"/>
    </sheetView>
  </sheetViews>
  <sheetFormatPr baseColWidth="10" defaultColWidth="2.375" defaultRowHeight="15" customHeight="1" x14ac:dyDescent="0.25"/>
  <cols>
    <col min="1" max="32" width="2.375" style="42" customWidth="1"/>
    <col min="33" max="16384" width="2.375" style="42"/>
  </cols>
  <sheetData>
    <row r="2" spans="1:32" ht="15" customHeight="1" x14ac:dyDescent="0.25">
      <c r="A2" s="53" t="s">
        <v>192</v>
      </c>
    </row>
    <row r="3" spans="1:32" ht="15" customHeight="1" x14ac:dyDescent="0.25">
      <c r="A3" s="174" t="s">
        <v>291</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row>
    <row r="4" spans="1:32" ht="15" customHeight="1" x14ac:dyDescent="0.25">
      <c r="A4" s="174"/>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row>
    <row r="5" spans="1:32" ht="15" customHeight="1" x14ac:dyDescent="0.25">
      <c r="A5" s="174"/>
      <c r="B5" s="174"/>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4"/>
    </row>
    <row r="6" spans="1:32" ht="15" customHeight="1" x14ac:dyDescent="0.2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row>
    <row r="7" spans="1:32" ht="15" customHeight="1" x14ac:dyDescent="0.25">
      <c r="A7" s="54" t="s">
        <v>193</v>
      </c>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row>
    <row r="8" spans="1:32" ht="15" customHeight="1" x14ac:dyDescent="0.25">
      <c r="A8" s="174" t="s">
        <v>257</v>
      </c>
      <c r="B8" s="174"/>
      <c r="C8" s="174"/>
      <c r="D8" s="174"/>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row>
    <row r="9" spans="1:32" ht="15" customHeight="1" x14ac:dyDescent="0.25">
      <c r="A9" s="174"/>
      <c r="B9" s="174"/>
      <c r="C9" s="174"/>
      <c r="D9" s="174"/>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row>
    <row r="10" spans="1:32" ht="15" customHeight="1" x14ac:dyDescent="0.25">
      <c r="A10" s="174"/>
      <c r="B10" s="174"/>
      <c r="C10" s="174"/>
      <c r="D10" s="174"/>
      <c r="E10" s="174"/>
      <c r="F10" s="174"/>
      <c r="G10" s="174"/>
      <c r="H10" s="174"/>
      <c r="I10" s="174"/>
      <c r="J10" s="174"/>
      <c r="K10" s="174"/>
      <c r="L10" s="174"/>
      <c r="M10" s="174"/>
      <c r="N10" s="174"/>
      <c r="O10" s="174"/>
      <c r="P10" s="174"/>
      <c r="Q10" s="174"/>
      <c r="R10" s="174"/>
      <c r="S10" s="174"/>
      <c r="T10" s="174"/>
      <c r="U10" s="174"/>
      <c r="V10" s="174"/>
      <c r="W10" s="174"/>
      <c r="X10" s="174"/>
      <c r="Y10" s="174"/>
      <c r="Z10" s="174"/>
      <c r="AA10" s="174"/>
      <c r="AB10" s="174"/>
      <c r="AC10" s="174"/>
      <c r="AD10" s="174"/>
      <c r="AE10" s="174"/>
      <c r="AF10" s="174"/>
    </row>
    <row r="11" spans="1:32" ht="15" customHeight="1" x14ac:dyDescent="0.25">
      <c r="A11" s="174"/>
      <c r="B11" s="174"/>
      <c r="C11" s="174"/>
      <c r="D11" s="174"/>
      <c r="E11" s="174"/>
      <c r="F11" s="174"/>
      <c r="G11" s="174"/>
      <c r="H11" s="174"/>
      <c r="I11" s="174"/>
      <c r="J11" s="174"/>
      <c r="K11" s="174"/>
      <c r="L11" s="174"/>
      <c r="M11" s="174"/>
      <c r="N11" s="174"/>
      <c r="O11" s="174"/>
      <c r="P11" s="174"/>
      <c r="Q11" s="174"/>
      <c r="R11" s="174"/>
      <c r="S11" s="174"/>
      <c r="T11" s="174"/>
      <c r="U11" s="174"/>
      <c r="V11" s="174"/>
      <c r="W11" s="174"/>
      <c r="X11" s="174"/>
      <c r="Y11" s="174"/>
      <c r="Z11" s="174"/>
      <c r="AA11" s="174"/>
      <c r="AB11" s="174"/>
      <c r="AC11" s="174"/>
      <c r="AD11" s="174"/>
      <c r="AE11" s="174"/>
      <c r="AF11" s="174"/>
    </row>
    <row r="12" spans="1:32" ht="15" customHeight="1" x14ac:dyDescent="0.25">
      <c r="A12" s="174"/>
      <c r="B12" s="174"/>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row>
    <row r="13" spans="1:32" ht="15" customHeight="1" x14ac:dyDescent="0.25">
      <c r="A13" s="96"/>
      <c r="B13" s="96"/>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row>
    <row r="14" spans="1:32" ht="15" customHeight="1" x14ac:dyDescent="0.25">
      <c r="A14" s="54" t="s">
        <v>256</v>
      </c>
      <c r="B14" s="96"/>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row>
    <row r="15" spans="1:32" ht="15" customHeight="1" x14ac:dyDescent="0.25">
      <c r="A15" s="174" t="s">
        <v>290</v>
      </c>
      <c r="B15" s="174"/>
      <c r="C15" s="174"/>
      <c r="D15" s="174"/>
      <c r="E15" s="174"/>
      <c r="F15" s="174"/>
      <c r="G15" s="174"/>
      <c r="H15" s="174"/>
      <c r="I15" s="174"/>
      <c r="J15" s="174"/>
      <c r="K15" s="174"/>
      <c r="L15" s="174"/>
      <c r="M15" s="174"/>
      <c r="N15" s="174"/>
      <c r="O15" s="174"/>
      <c r="P15" s="174"/>
      <c r="Q15" s="174"/>
      <c r="R15" s="174"/>
      <c r="S15" s="174"/>
      <c r="T15" s="174"/>
      <c r="U15" s="174"/>
      <c r="V15" s="174"/>
      <c r="W15" s="174"/>
      <c r="X15" s="174"/>
      <c r="Y15" s="174"/>
      <c r="Z15" s="174"/>
      <c r="AA15" s="174"/>
      <c r="AB15" s="174"/>
      <c r="AC15" s="174"/>
      <c r="AD15" s="174"/>
      <c r="AE15" s="174"/>
      <c r="AF15" s="174"/>
    </row>
    <row r="16" spans="1:32" ht="15" customHeight="1" x14ac:dyDescent="0.25">
      <c r="A16" s="174"/>
      <c r="B16" s="174"/>
      <c r="C16" s="174"/>
      <c r="D16" s="174"/>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row>
    <row r="17" spans="1:32" ht="15" customHeight="1" x14ac:dyDescent="0.25">
      <c r="A17" s="174"/>
      <c r="B17" s="174"/>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row>
    <row r="18" spans="1:32" ht="15" customHeight="1" x14ac:dyDescent="0.25">
      <c r="A18" s="174"/>
      <c r="B18" s="174"/>
      <c r="C18" s="174"/>
      <c r="D18" s="174"/>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row>
    <row r="19" spans="1:32" ht="15" customHeight="1" x14ac:dyDescent="0.25">
      <c r="A19" s="174"/>
      <c r="B19" s="174"/>
      <c r="C19" s="174"/>
      <c r="D19" s="174"/>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row>
    <row r="20" spans="1:32" ht="15" customHeight="1" x14ac:dyDescent="0.25">
      <c r="A20" s="174"/>
      <c r="B20" s="174"/>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row>
    <row r="21" spans="1:32" ht="15" customHeight="1" x14ac:dyDescent="0.25">
      <c r="A21" s="44"/>
      <c r="B21" s="44"/>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row>
    <row r="22" spans="1:32" ht="15" customHeight="1" x14ac:dyDescent="0.25">
      <c r="A22" s="54" t="s">
        <v>194</v>
      </c>
      <c r="B22" s="44"/>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row>
    <row r="23" spans="1:32" ht="15" customHeight="1" x14ac:dyDescent="0.25">
      <c r="A23" s="174" t="s">
        <v>278</v>
      </c>
      <c r="B23" s="174"/>
      <c r="C23" s="174"/>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row>
    <row r="24" spans="1:32" ht="15" customHeight="1" x14ac:dyDescent="0.25">
      <c r="A24" s="174"/>
      <c r="B24" s="174"/>
      <c r="C24" s="174"/>
      <c r="D24" s="174"/>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row>
    <row r="25" spans="1:32" ht="15" customHeight="1" x14ac:dyDescent="0.25">
      <c r="A25" s="174"/>
      <c r="B25" s="174"/>
      <c r="C25" s="174"/>
      <c r="D25" s="174"/>
      <c r="E25" s="174"/>
      <c r="F25" s="174"/>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row>
    <row r="26" spans="1:32" ht="15" customHeight="1" x14ac:dyDescent="0.25">
      <c r="A26" s="174"/>
      <c r="B26" s="174"/>
      <c r="C26" s="174"/>
      <c r="D26" s="174"/>
      <c r="E26" s="174"/>
      <c r="F26" s="174"/>
      <c r="G26" s="174"/>
      <c r="H26" s="174"/>
      <c r="I26" s="174"/>
      <c r="J26" s="174"/>
      <c r="K26" s="174"/>
      <c r="L26" s="174"/>
      <c r="M26" s="174"/>
      <c r="N26" s="174"/>
      <c r="O26" s="174"/>
      <c r="P26" s="174"/>
      <c r="Q26" s="174"/>
      <c r="R26" s="174"/>
      <c r="S26" s="174"/>
      <c r="T26" s="174"/>
      <c r="U26" s="174"/>
      <c r="V26" s="174"/>
      <c r="W26" s="174"/>
      <c r="X26" s="174"/>
      <c r="Y26" s="174"/>
      <c r="Z26" s="174"/>
      <c r="AA26" s="174"/>
      <c r="AB26" s="174"/>
      <c r="AC26" s="174"/>
      <c r="AD26" s="174"/>
      <c r="AE26" s="174"/>
      <c r="AF26" s="174"/>
    </row>
    <row r="27" spans="1:32" ht="15" customHeight="1" x14ac:dyDescent="0.25">
      <c r="A27" s="174"/>
      <c r="B27" s="174"/>
      <c r="C27" s="174"/>
      <c r="D27" s="174"/>
      <c r="E27" s="174"/>
      <c r="F27" s="174"/>
      <c r="G27" s="174"/>
      <c r="H27" s="174"/>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row>
    <row r="28" spans="1:32" ht="15" customHeight="1" x14ac:dyDescent="0.25">
      <c r="A28" s="174"/>
      <c r="B28" s="174"/>
      <c r="C28" s="174"/>
      <c r="D28" s="174"/>
      <c r="E28" s="174"/>
      <c r="F28" s="174"/>
      <c r="G28" s="174"/>
      <c r="H28" s="174"/>
      <c r="I28" s="174"/>
      <c r="J28" s="174"/>
      <c r="K28" s="174"/>
      <c r="L28" s="174"/>
      <c r="M28" s="174"/>
      <c r="N28" s="174"/>
      <c r="O28" s="174"/>
      <c r="P28" s="174"/>
      <c r="Q28" s="174"/>
      <c r="R28" s="174"/>
      <c r="S28" s="174"/>
      <c r="T28" s="174"/>
      <c r="U28" s="174"/>
      <c r="V28" s="174"/>
      <c r="W28" s="174"/>
      <c r="X28" s="174"/>
      <c r="Y28" s="174"/>
      <c r="Z28" s="174"/>
      <c r="AA28" s="174"/>
      <c r="AB28" s="174"/>
      <c r="AC28" s="174"/>
      <c r="AD28" s="174"/>
      <c r="AE28" s="174"/>
      <c r="AF28" s="174"/>
    </row>
    <row r="29" spans="1:32" ht="15" customHeight="1" x14ac:dyDescent="0.25">
      <c r="A29" s="174"/>
      <c r="B29" s="174"/>
      <c r="C29" s="174"/>
      <c r="D29" s="174"/>
      <c r="E29" s="174"/>
      <c r="F29" s="174"/>
      <c r="G29" s="174"/>
      <c r="H29" s="174"/>
      <c r="I29" s="174"/>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row>
    <row r="30" spans="1:32" ht="15" customHeight="1" x14ac:dyDescent="0.25">
      <c r="A30" s="174"/>
      <c r="B30" s="174"/>
      <c r="C30" s="174"/>
      <c r="D30" s="174"/>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row>
    <row r="31" spans="1:32" ht="15" customHeight="1" x14ac:dyDescent="0.25">
      <c r="A31" s="174"/>
      <c r="B31" s="174"/>
      <c r="C31" s="174"/>
      <c r="D31" s="174"/>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row>
    <row r="32" spans="1:32" ht="15" customHeight="1" x14ac:dyDescent="0.25">
      <c r="A32" s="174"/>
      <c r="B32" s="174"/>
      <c r="C32" s="174"/>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row>
    <row r="33" spans="1:32" ht="15" customHeight="1" x14ac:dyDescent="0.25">
      <c r="A33" s="174"/>
      <c r="B33" s="174"/>
      <c r="C33" s="174"/>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row>
    <row r="34" spans="1:32" ht="15" customHeight="1" x14ac:dyDescent="0.25">
      <c r="A34" s="174"/>
      <c r="B34" s="174"/>
      <c r="C34" s="174"/>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row>
    <row r="35" spans="1:32" ht="15" customHeight="1" x14ac:dyDescent="0.25">
      <c r="A35" s="43"/>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row>
    <row r="36" spans="1:32" ht="15" customHeight="1" x14ac:dyDescent="0.25">
      <c r="A36" s="54" t="s">
        <v>73</v>
      </c>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row>
    <row r="37" spans="1:32" ht="15" customHeight="1" x14ac:dyDescent="0.25">
      <c r="A37" s="174" t="s">
        <v>195</v>
      </c>
      <c r="B37" s="174"/>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row>
    <row r="38" spans="1:32" ht="15" customHeight="1" x14ac:dyDescent="0.25">
      <c r="A38" s="174"/>
      <c r="B38" s="174"/>
      <c r="C38" s="174"/>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row>
    <row r="39" spans="1:32" ht="15" customHeight="1" x14ac:dyDescent="0.25">
      <c r="A39" s="174"/>
      <c r="B39" s="174"/>
      <c r="C39" s="174"/>
      <c r="D39" s="174"/>
      <c r="E39" s="174"/>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row>
    <row r="40" spans="1:32" ht="15" customHeight="1" x14ac:dyDescent="0.25">
      <c r="A40" s="174"/>
      <c r="B40" s="174"/>
      <c r="C40" s="174"/>
      <c r="D40" s="174"/>
      <c r="E40" s="174"/>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row>
    <row r="41" spans="1:32" ht="15" customHeight="1" x14ac:dyDescent="0.25">
      <c r="A41" s="174"/>
      <c r="B41" s="174"/>
      <c r="C41" s="174"/>
      <c r="D41" s="174"/>
      <c r="E41" s="174"/>
      <c r="F41" s="174"/>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c r="AD41" s="174"/>
      <c r="AE41" s="174"/>
      <c r="AF41" s="174"/>
    </row>
    <row r="42" spans="1:32" ht="15" customHeight="1" x14ac:dyDescent="0.25">
      <c r="A42" s="43"/>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row>
    <row r="43" spans="1:32" ht="15" customHeight="1" x14ac:dyDescent="0.25">
      <c r="A43" s="54" t="s">
        <v>184</v>
      </c>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row>
    <row r="44" spans="1:32" ht="15" customHeight="1" x14ac:dyDescent="0.25">
      <c r="A44" s="175" t="s">
        <v>292</v>
      </c>
      <c r="B44" s="176"/>
      <c r="C44" s="176"/>
      <c r="D44" s="176"/>
      <c r="E44" s="176"/>
      <c r="F44" s="176"/>
      <c r="G44" s="176"/>
      <c r="H44" s="176"/>
      <c r="I44" s="176"/>
      <c r="J44" s="176"/>
      <c r="K44" s="176"/>
      <c r="L44" s="176"/>
      <c r="M44" s="176"/>
      <c r="N44" s="176"/>
      <c r="O44" s="176"/>
      <c r="P44" s="176"/>
      <c r="Q44" s="176"/>
      <c r="R44" s="176"/>
      <c r="S44" s="176"/>
      <c r="T44" s="176"/>
      <c r="U44" s="176"/>
      <c r="V44" s="176"/>
      <c r="W44" s="176"/>
      <c r="X44" s="176"/>
      <c r="Y44" s="176"/>
      <c r="Z44" s="176"/>
      <c r="AA44" s="176"/>
      <c r="AB44" s="176"/>
      <c r="AC44" s="176"/>
      <c r="AD44" s="176"/>
      <c r="AE44" s="176"/>
      <c r="AF44" s="176"/>
    </row>
    <row r="45" spans="1:32" ht="15" customHeight="1" x14ac:dyDescent="0.25">
      <c r="A45" s="176"/>
      <c r="B45" s="176"/>
      <c r="C45" s="176"/>
      <c r="D45" s="176"/>
      <c r="E45" s="176"/>
      <c r="F45" s="176"/>
      <c r="G45" s="176"/>
      <c r="H45" s="176"/>
      <c r="I45" s="176"/>
      <c r="J45" s="176"/>
      <c r="K45" s="176"/>
      <c r="L45" s="176"/>
      <c r="M45" s="176"/>
      <c r="N45" s="176"/>
      <c r="O45" s="176"/>
      <c r="P45" s="176"/>
      <c r="Q45" s="176"/>
      <c r="R45" s="176"/>
      <c r="S45" s="176"/>
      <c r="T45" s="176"/>
      <c r="U45" s="176"/>
      <c r="V45" s="176"/>
      <c r="W45" s="176"/>
      <c r="X45" s="176"/>
      <c r="Y45" s="176"/>
      <c r="Z45" s="176"/>
      <c r="AA45" s="176"/>
      <c r="AB45" s="176"/>
      <c r="AC45" s="176"/>
      <c r="AD45" s="176"/>
      <c r="AE45" s="176"/>
      <c r="AF45" s="176"/>
    </row>
    <row r="46" spans="1:32" ht="15" customHeight="1" x14ac:dyDescent="0.25">
      <c r="A46" s="176"/>
      <c r="B46" s="176"/>
      <c r="C46" s="176"/>
      <c r="D46" s="176"/>
      <c r="E46" s="176"/>
      <c r="F46" s="176"/>
      <c r="G46" s="176"/>
      <c r="H46" s="176"/>
      <c r="I46" s="176"/>
      <c r="J46" s="176"/>
      <c r="K46" s="176"/>
      <c r="L46" s="176"/>
      <c r="M46" s="176"/>
      <c r="N46" s="176"/>
      <c r="O46" s="176"/>
      <c r="P46" s="176"/>
      <c r="Q46" s="176"/>
      <c r="R46" s="176"/>
      <c r="S46" s="176"/>
      <c r="T46" s="176"/>
      <c r="U46" s="176"/>
      <c r="V46" s="176"/>
      <c r="W46" s="176"/>
      <c r="X46" s="176"/>
      <c r="Y46" s="176"/>
      <c r="Z46" s="176"/>
      <c r="AA46" s="176"/>
      <c r="AB46" s="176"/>
      <c r="AC46" s="176"/>
      <c r="AD46" s="176"/>
      <c r="AE46" s="176"/>
      <c r="AF46" s="176"/>
    </row>
    <row r="47" spans="1:32" ht="15" customHeight="1" x14ac:dyDescent="0.25">
      <c r="A47" s="176"/>
      <c r="B47" s="176"/>
      <c r="C47" s="176"/>
      <c r="D47" s="176"/>
      <c r="E47" s="176"/>
      <c r="F47" s="176"/>
      <c r="G47" s="176"/>
      <c r="H47" s="176"/>
      <c r="I47" s="176"/>
      <c r="J47" s="176"/>
      <c r="K47" s="176"/>
      <c r="L47" s="176"/>
      <c r="M47" s="176"/>
      <c r="N47" s="176"/>
      <c r="O47" s="176"/>
      <c r="P47" s="176"/>
      <c r="Q47" s="176"/>
      <c r="R47" s="176"/>
      <c r="S47" s="176"/>
      <c r="T47" s="176"/>
      <c r="U47" s="176"/>
      <c r="V47" s="176"/>
      <c r="W47" s="176"/>
      <c r="X47" s="176"/>
      <c r="Y47" s="176"/>
      <c r="Z47" s="176"/>
      <c r="AA47" s="176"/>
      <c r="AB47" s="176"/>
      <c r="AC47" s="176"/>
      <c r="AD47" s="176"/>
      <c r="AE47" s="176"/>
      <c r="AF47" s="176"/>
    </row>
    <row r="48" spans="1:32" ht="15" customHeight="1" x14ac:dyDescent="0.25">
      <c r="A48" s="176"/>
      <c r="B48" s="176"/>
      <c r="C48" s="176"/>
      <c r="D48" s="176"/>
      <c r="E48" s="176"/>
      <c r="F48" s="176"/>
      <c r="G48" s="176"/>
      <c r="H48" s="176"/>
      <c r="I48" s="176"/>
      <c r="J48" s="176"/>
      <c r="K48" s="176"/>
      <c r="L48" s="176"/>
      <c r="M48" s="176"/>
      <c r="N48" s="176"/>
      <c r="O48" s="176"/>
      <c r="P48" s="176"/>
      <c r="Q48" s="176"/>
      <c r="R48" s="176"/>
      <c r="S48" s="176"/>
      <c r="T48" s="176"/>
      <c r="U48" s="176"/>
      <c r="V48" s="176"/>
      <c r="W48" s="176"/>
      <c r="X48" s="176"/>
      <c r="Y48" s="176"/>
      <c r="Z48" s="176"/>
      <c r="AA48" s="176"/>
      <c r="AB48" s="176"/>
      <c r="AC48" s="176"/>
      <c r="AD48" s="176"/>
      <c r="AE48" s="176"/>
      <c r="AF48" s="176"/>
    </row>
    <row r="49" spans="1:32" ht="15" customHeight="1" x14ac:dyDescent="0.25">
      <c r="A49" s="176"/>
      <c r="B49" s="176"/>
      <c r="C49" s="176"/>
      <c r="D49" s="176"/>
      <c r="E49" s="176"/>
      <c r="F49" s="176"/>
      <c r="G49" s="176"/>
      <c r="H49" s="176"/>
      <c r="I49" s="176"/>
      <c r="J49" s="176"/>
      <c r="K49" s="176"/>
      <c r="L49" s="176"/>
      <c r="M49" s="176"/>
      <c r="N49" s="176"/>
      <c r="O49" s="176"/>
      <c r="P49" s="176"/>
      <c r="Q49" s="176"/>
      <c r="R49" s="176"/>
      <c r="S49" s="176"/>
      <c r="T49" s="176"/>
      <c r="U49" s="176"/>
      <c r="V49" s="176"/>
      <c r="W49" s="176"/>
      <c r="X49" s="176"/>
      <c r="Y49" s="176"/>
      <c r="Z49" s="176"/>
      <c r="AA49" s="176"/>
      <c r="AB49" s="176"/>
      <c r="AC49" s="176"/>
      <c r="AD49" s="176"/>
      <c r="AE49" s="176"/>
      <c r="AF49" s="176"/>
    </row>
    <row r="50" spans="1:32" ht="15" customHeight="1" x14ac:dyDescent="0.25">
      <c r="A50" s="176"/>
      <c r="B50" s="176"/>
      <c r="C50" s="176"/>
      <c r="D50" s="176"/>
      <c r="E50" s="176"/>
      <c r="F50" s="176"/>
      <c r="G50" s="176"/>
      <c r="H50" s="176"/>
      <c r="I50" s="176"/>
      <c r="J50" s="176"/>
      <c r="K50" s="176"/>
      <c r="L50" s="176"/>
      <c r="M50" s="176"/>
      <c r="N50" s="176"/>
      <c r="O50" s="176"/>
      <c r="P50" s="176"/>
      <c r="Q50" s="176"/>
      <c r="R50" s="176"/>
      <c r="S50" s="176"/>
      <c r="T50" s="176"/>
      <c r="U50" s="176"/>
      <c r="V50" s="176"/>
      <c r="W50" s="176"/>
      <c r="X50" s="176"/>
      <c r="Y50" s="176"/>
      <c r="Z50" s="176"/>
      <c r="AA50" s="176"/>
      <c r="AB50" s="176"/>
      <c r="AC50" s="176"/>
      <c r="AD50" s="176"/>
      <c r="AE50" s="176"/>
      <c r="AF50" s="176"/>
    </row>
    <row r="51" spans="1:32" ht="15" customHeight="1" x14ac:dyDescent="0.25">
      <c r="A51" s="176"/>
      <c r="B51" s="176"/>
      <c r="C51" s="176"/>
      <c r="D51" s="176"/>
      <c r="E51" s="176"/>
      <c r="F51" s="176"/>
      <c r="G51" s="176"/>
      <c r="H51" s="176"/>
      <c r="I51" s="176"/>
      <c r="J51" s="176"/>
      <c r="K51" s="176"/>
      <c r="L51" s="176"/>
      <c r="M51" s="176"/>
      <c r="N51" s="176"/>
      <c r="O51" s="176"/>
      <c r="P51" s="176"/>
      <c r="Q51" s="176"/>
      <c r="R51" s="176"/>
      <c r="S51" s="176"/>
      <c r="T51" s="176"/>
      <c r="U51" s="176"/>
      <c r="V51" s="176"/>
      <c r="W51" s="176"/>
      <c r="X51" s="176"/>
      <c r="Y51" s="176"/>
      <c r="Z51" s="176"/>
      <c r="AA51" s="176"/>
      <c r="AB51" s="176"/>
      <c r="AC51" s="176"/>
      <c r="AD51" s="176"/>
      <c r="AE51" s="176"/>
      <c r="AF51" s="176"/>
    </row>
    <row r="52" spans="1:32" ht="15" customHeight="1" x14ac:dyDescent="0.25">
      <c r="A52" s="176"/>
      <c r="B52" s="176"/>
      <c r="C52" s="176"/>
      <c r="D52" s="176"/>
      <c r="E52" s="176"/>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row>
    <row r="53" spans="1:32" ht="15" customHeight="1" x14ac:dyDescent="0.25">
      <c r="A53" s="176"/>
      <c r="B53" s="176"/>
      <c r="C53" s="176"/>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row>
    <row r="54" spans="1:32" ht="15" customHeight="1" x14ac:dyDescent="0.25">
      <c r="A54" s="176"/>
      <c r="B54" s="176"/>
      <c r="C54" s="176"/>
      <c r="D54" s="176"/>
      <c r="E54" s="176"/>
      <c r="F54" s="176"/>
      <c r="G54" s="176"/>
      <c r="H54" s="176"/>
      <c r="I54" s="176"/>
      <c r="J54" s="176"/>
      <c r="K54" s="176"/>
      <c r="L54" s="176"/>
      <c r="M54" s="176"/>
      <c r="N54" s="176"/>
      <c r="O54" s="176"/>
      <c r="P54" s="176"/>
      <c r="Q54" s="176"/>
      <c r="R54" s="176"/>
      <c r="S54" s="176"/>
      <c r="T54" s="176"/>
      <c r="U54" s="176"/>
      <c r="V54" s="176"/>
      <c r="W54" s="176"/>
      <c r="X54" s="176"/>
      <c r="Y54" s="176"/>
      <c r="Z54" s="176"/>
      <c r="AA54" s="176"/>
      <c r="AB54" s="176"/>
      <c r="AC54" s="176"/>
      <c r="AD54" s="176"/>
      <c r="AE54" s="176"/>
      <c r="AF54" s="176"/>
    </row>
    <row r="55" spans="1:32" ht="15" customHeight="1" x14ac:dyDescent="0.25">
      <c r="A55" s="176"/>
      <c r="B55" s="176"/>
      <c r="C55" s="176"/>
      <c r="D55" s="176"/>
      <c r="E55" s="176"/>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6"/>
      <c r="AF55" s="176"/>
    </row>
    <row r="56" spans="1:32" ht="15" customHeight="1" x14ac:dyDescent="0.25">
      <c r="A56" s="176"/>
      <c r="B56" s="176"/>
      <c r="C56" s="176"/>
      <c r="D56" s="176"/>
      <c r="E56" s="176"/>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6"/>
    </row>
    <row r="57" spans="1:32" ht="15" customHeight="1" x14ac:dyDescent="0.25">
      <c r="A57" s="176"/>
      <c r="B57" s="176"/>
      <c r="C57" s="176"/>
      <c r="D57" s="176"/>
      <c r="E57" s="176"/>
      <c r="F57" s="176"/>
      <c r="G57" s="176"/>
      <c r="H57" s="176"/>
      <c r="I57" s="176"/>
      <c r="J57" s="176"/>
      <c r="K57" s="176"/>
      <c r="L57" s="176"/>
      <c r="M57" s="176"/>
      <c r="N57" s="176"/>
      <c r="O57" s="176"/>
      <c r="P57" s="176"/>
      <c r="Q57" s="176"/>
      <c r="R57" s="176"/>
      <c r="S57" s="176"/>
      <c r="T57" s="176"/>
      <c r="U57" s="176"/>
      <c r="V57" s="176"/>
      <c r="W57" s="176"/>
      <c r="X57" s="176"/>
      <c r="Y57" s="176"/>
      <c r="Z57" s="176"/>
      <c r="AA57" s="176"/>
      <c r="AB57" s="176"/>
      <c r="AC57" s="176"/>
      <c r="AD57" s="176"/>
      <c r="AE57" s="176"/>
      <c r="AF57" s="176"/>
    </row>
    <row r="58" spans="1:32" ht="15" customHeight="1" x14ac:dyDescent="0.25">
      <c r="A58" s="176"/>
      <c r="B58" s="176"/>
      <c r="C58" s="176"/>
      <c r="D58" s="176"/>
      <c r="E58" s="176"/>
      <c r="F58" s="176"/>
      <c r="G58" s="176"/>
      <c r="H58" s="176"/>
      <c r="I58" s="176"/>
      <c r="J58" s="176"/>
      <c r="K58" s="176"/>
      <c r="L58" s="176"/>
      <c r="M58" s="176"/>
      <c r="N58" s="176"/>
      <c r="O58" s="176"/>
      <c r="P58" s="176"/>
      <c r="Q58" s="176"/>
      <c r="R58" s="176"/>
      <c r="S58" s="176"/>
      <c r="T58" s="176"/>
      <c r="U58" s="176"/>
      <c r="V58" s="176"/>
      <c r="W58" s="176"/>
      <c r="X58" s="176"/>
      <c r="Y58" s="176"/>
      <c r="Z58" s="176"/>
      <c r="AA58" s="176"/>
      <c r="AB58" s="176"/>
      <c r="AC58" s="176"/>
      <c r="AD58" s="176"/>
      <c r="AE58" s="176"/>
      <c r="AF58" s="176"/>
    </row>
    <row r="59" spans="1:32" ht="15" customHeight="1" x14ac:dyDescent="0.25">
      <c r="A59" s="176"/>
      <c r="B59" s="176"/>
      <c r="C59" s="176"/>
      <c r="D59" s="176"/>
      <c r="E59" s="176"/>
      <c r="F59" s="176"/>
      <c r="G59" s="176"/>
      <c r="H59" s="176"/>
      <c r="I59" s="176"/>
      <c r="J59" s="176"/>
      <c r="K59" s="176"/>
      <c r="L59" s="176"/>
      <c r="M59" s="176"/>
      <c r="N59" s="176"/>
      <c r="O59" s="176"/>
      <c r="P59" s="176"/>
      <c r="Q59" s="176"/>
      <c r="R59" s="176"/>
      <c r="S59" s="176"/>
      <c r="T59" s="176"/>
      <c r="U59" s="176"/>
      <c r="V59" s="176"/>
      <c r="W59" s="176"/>
      <c r="X59" s="176"/>
      <c r="Y59" s="176"/>
      <c r="Z59" s="176"/>
      <c r="AA59" s="176"/>
      <c r="AB59" s="176"/>
      <c r="AC59" s="176"/>
      <c r="AD59" s="176"/>
      <c r="AE59" s="176"/>
      <c r="AF59" s="176"/>
    </row>
    <row r="60" spans="1:32" ht="15" customHeight="1" x14ac:dyDescent="0.25">
      <c r="A60" s="176"/>
      <c r="B60" s="176"/>
      <c r="C60" s="176"/>
      <c r="D60" s="176"/>
      <c r="E60" s="176"/>
      <c r="F60" s="176"/>
      <c r="G60" s="176"/>
      <c r="H60" s="176"/>
      <c r="I60" s="176"/>
      <c r="J60" s="176"/>
      <c r="K60" s="176"/>
      <c r="L60" s="176"/>
      <c r="M60" s="176"/>
      <c r="N60" s="176"/>
      <c r="O60" s="176"/>
      <c r="P60" s="176"/>
      <c r="Q60" s="176"/>
      <c r="R60" s="176"/>
      <c r="S60" s="176"/>
      <c r="T60" s="176"/>
      <c r="U60" s="176"/>
      <c r="V60" s="176"/>
      <c r="W60" s="176"/>
      <c r="X60" s="176"/>
      <c r="Y60" s="176"/>
      <c r="Z60" s="176"/>
      <c r="AA60" s="176"/>
      <c r="AB60" s="176"/>
      <c r="AC60" s="176"/>
      <c r="AD60" s="176"/>
      <c r="AE60" s="176"/>
      <c r="AF60" s="176"/>
    </row>
    <row r="61" spans="1:32" ht="15" customHeight="1" x14ac:dyDescent="0.25">
      <c r="A61" s="176"/>
      <c r="B61" s="176"/>
      <c r="C61" s="176"/>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row>
    <row r="62" spans="1:32" ht="15" customHeight="1" x14ac:dyDescent="0.25">
      <c r="A62" s="176"/>
      <c r="B62" s="176"/>
      <c r="C62" s="176"/>
      <c r="D62" s="176"/>
      <c r="E62" s="176"/>
      <c r="F62" s="176"/>
      <c r="G62" s="176"/>
      <c r="H62" s="176"/>
      <c r="I62" s="176"/>
      <c r="J62" s="176"/>
      <c r="K62" s="176"/>
      <c r="L62" s="176"/>
      <c r="M62" s="176"/>
      <c r="N62" s="176"/>
      <c r="O62" s="176"/>
      <c r="P62" s="176"/>
      <c r="Q62" s="176"/>
      <c r="R62" s="176"/>
      <c r="S62" s="176"/>
      <c r="T62" s="176"/>
      <c r="U62" s="176"/>
      <c r="V62" s="176"/>
      <c r="W62" s="176"/>
      <c r="X62" s="176"/>
      <c r="Y62" s="176"/>
      <c r="Z62" s="176"/>
      <c r="AA62" s="176"/>
      <c r="AB62" s="176"/>
      <c r="AC62" s="176"/>
      <c r="AD62" s="176"/>
      <c r="AE62" s="176"/>
      <c r="AF62" s="176"/>
    </row>
    <row r="63" spans="1:32" ht="15" customHeight="1" x14ac:dyDescent="0.25">
      <c r="A63" s="176"/>
      <c r="B63" s="176"/>
      <c r="C63" s="176"/>
      <c r="D63" s="176"/>
      <c r="E63" s="176"/>
      <c r="F63" s="176"/>
      <c r="G63" s="176"/>
      <c r="H63" s="176"/>
      <c r="I63" s="176"/>
      <c r="J63" s="176"/>
      <c r="K63" s="176"/>
      <c r="L63" s="176"/>
      <c r="M63" s="176"/>
      <c r="N63" s="176"/>
      <c r="O63" s="176"/>
      <c r="P63" s="176"/>
      <c r="Q63" s="176"/>
      <c r="R63" s="176"/>
      <c r="S63" s="176"/>
      <c r="T63" s="176"/>
      <c r="U63" s="176"/>
      <c r="V63" s="176"/>
      <c r="W63" s="176"/>
      <c r="X63" s="176"/>
      <c r="Y63" s="176"/>
      <c r="Z63" s="176"/>
      <c r="AA63" s="176"/>
      <c r="AB63" s="176"/>
      <c r="AC63" s="176"/>
      <c r="AD63" s="176"/>
      <c r="AE63" s="176"/>
      <c r="AF63" s="176"/>
    </row>
    <row r="64" spans="1:32" ht="15" customHeight="1" x14ac:dyDescent="0.25">
      <c r="A64" s="176"/>
      <c r="B64" s="176"/>
      <c r="C64" s="176"/>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76"/>
    </row>
    <row r="65" spans="1:32" ht="15" customHeight="1" x14ac:dyDescent="0.25">
      <c r="A65" s="176"/>
      <c r="B65" s="176"/>
      <c r="C65" s="176"/>
      <c r="D65" s="176"/>
      <c r="E65" s="176"/>
      <c r="F65" s="176"/>
      <c r="G65" s="176"/>
      <c r="H65" s="176"/>
      <c r="I65" s="176"/>
      <c r="J65" s="176"/>
      <c r="K65" s="176"/>
      <c r="L65" s="176"/>
      <c r="M65" s="176"/>
      <c r="N65" s="176"/>
      <c r="O65" s="176"/>
      <c r="P65" s="176"/>
      <c r="Q65" s="176"/>
      <c r="R65" s="176"/>
      <c r="S65" s="176"/>
      <c r="T65" s="176"/>
      <c r="U65" s="176"/>
      <c r="V65" s="176"/>
      <c r="W65" s="176"/>
      <c r="X65" s="176"/>
      <c r="Y65" s="176"/>
      <c r="Z65" s="176"/>
      <c r="AA65" s="176"/>
      <c r="AB65" s="176"/>
      <c r="AC65" s="176"/>
      <c r="AD65" s="176"/>
      <c r="AE65" s="176"/>
      <c r="AF65" s="176"/>
    </row>
    <row r="66" spans="1:32" ht="15" customHeight="1" x14ac:dyDescent="0.25">
      <c r="A66" s="176"/>
      <c r="B66" s="176"/>
      <c r="C66" s="176"/>
      <c r="D66" s="176"/>
      <c r="E66" s="176"/>
      <c r="F66" s="176"/>
      <c r="G66" s="176"/>
      <c r="H66" s="176"/>
      <c r="I66" s="176"/>
      <c r="J66" s="176"/>
      <c r="K66" s="176"/>
      <c r="L66" s="176"/>
      <c r="M66" s="176"/>
      <c r="N66" s="176"/>
      <c r="O66" s="176"/>
      <c r="P66" s="176"/>
      <c r="Q66" s="176"/>
      <c r="R66" s="176"/>
      <c r="S66" s="176"/>
      <c r="T66" s="176"/>
      <c r="U66" s="176"/>
      <c r="V66" s="176"/>
      <c r="W66" s="176"/>
      <c r="X66" s="176"/>
      <c r="Y66" s="176"/>
      <c r="Z66" s="176"/>
      <c r="AA66" s="176"/>
      <c r="AB66" s="176"/>
      <c r="AC66" s="176"/>
      <c r="AD66" s="176"/>
      <c r="AE66" s="176"/>
      <c r="AF66" s="176"/>
    </row>
    <row r="67" spans="1:32" ht="15" customHeight="1" x14ac:dyDescent="0.25">
      <c r="A67" s="176"/>
      <c r="B67" s="176"/>
      <c r="C67" s="176"/>
      <c r="D67" s="176"/>
      <c r="E67" s="176"/>
      <c r="F67" s="176"/>
      <c r="G67" s="176"/>
      <c r="H67" s="176"/>
      <c r="I67" s="176"/>
      <c r="J67" s="176"/>
      <c r="K67" s="176"/>
      <c r="L67" s="176"/>
      <c r="M67" s="176"/>
      <c r="N67" s="176"/>
      <c r="O67" s="176"/>
      <c r="P67" s="176"/>
      <c r="Q67" s="176"/>
      <c r="R67" s="176"/>
      <c r="S67" s="176"/>
      <c r="T67" s="176"/>
      <c r="U67" s="176"/>
      <c r="V67" s="176"/>
      <c r="W67" s="176"/>
      <c r="X67" s="176"/>
      <c r="Y67" s="176"/>
      <c r="Z67" s="176"/>
      <c r="AA67" s="176"/>
      <c r="AB67" s="176"/>
      <c r="AC67" s="176"/>
      <c r="AD67" s="176"/>
      <c r="AE67" s="176"/>
      <c r="AF67" s="176"/>
    </row>
    <row r="68" spans="1:32" ht="15" customHeight="1" x14ac:dyDescent="0.25">
      <c r="A68" s="176"/>
      <c r="B68" s="176"/>
      <c r="C68" s="176"/>
      <c r="D68" s="176"/>
      <c r="E68" s="176"/>
      <c r="F68" s="176"/>
      <c r="G68" s="176"/>
      <c r="H68" s="176"/>
      <c r="I68" s="176"/>
      <c r="J68" s="176"/>
      <c r="K68" s="176"/>
      <c r="L68" s="176"/>
      <c r="M68" s="176"/>
      <c r="N68" s="176"/>
      <c r="O68" s="176"/>
      <c r="P68" s="176"/>
      <c r="Q68" s="176"/>
      <c r="R68" s="176"/>
      <c r="S68" s="176"/>
      <c r="T68" s="176"/>
      <c r="U68" s="176"/>
      <c r="V68" s="176"/>
      <c r="W68" s="176"/>
      <c r="X68" s="176"/>
      <c r="Y68" s="176"/>
      <c r="Z68" s="176"/>
      <c r="AA68" s="176"/>
      <c r="AB68" s="176"/>
      <c r="AC68" s="176"/>
      <c r="AD68" s="176"/>
      <c r="AE68" s="176"/>
      <c r="AF68" s="176"/>
    </row>
    <row r="69" spans="1:32" ht="15" customHeight="1" x14ac:dyDescent="0.25">
      <c r="A69" s="176"/>
      <c r="B69" s="176"/>
      <c r="C69" s="176"/>
      <c r="D69" s="176"/>
      <c r="E69" s="176"/>
      <c r="F69" s="176"/>
      <c r="G69" s="176"/>
      <c r="H69" s="176"/>
      <c r="I69" s="176"/>
      <c r="J69" s="176"/>
      <c r="K69" s="176"/>
      <c r="L69" s="176"/>
      <c r="M69" s="176"/>
      <c r="N69" s="176"/>
      <c r="O69" s="176"/>
      <c r="P69" s="176"/>
      <c r="Q69" s="176"/>
      <c r="R69" s="176"/>
      <c r="S69" s="176"/>
      <c r="T69" s="176"/>
      <c r="U69" s="176"/>
      <c r="V69" s="176"/>
      <c r="W69" s="176"/>
      <c r="X69" s="176"/>
      <c r="Y69" s="176"/>
      <c r="Z69" s="176"/>
      <c r="AA69" s="176"/>
      <c r="AB69" s="176"/>
      <c r="AC69" s="176"/>
      <c r="AD69" s="176"/>
      <c r="AE69" s="176"/>
      <c r="AF69" s="176"/>
    </row>
    <row r="70" spans="1:32" ht="15" customHeight="1" x14ac:dyDescent="0.25">
      <c r="A70" s="176"/>
      <c r="B70" s="176"/>
      <c r="C70" s="176"/>
      <c r="D70" s="176"/>
      <c r="E70" s="176"/>
      <c r="F70" s="176"/>
      <c r="G70" s="176"/>
      <c r="H70" s="176"/>
      <c r="I70" s="176"/>
      <c r="J70" s="176"/>
      <c r="K70" s="176"/>
      <c r="L70" s="176"/>
      <c r="M70" s="176"/>
      <c r="N70" s="176"/>
      <c r="O70" s="176"/>
      <c r="P70" s="176"/>
      <c r="Q70" s="176"/>
      <c r="R70" s="176"/>
      <c r="S70" s="176"/>
      <c r="T70" s="176"/>
      <c r="U70" s="176"/>
      <c r="V70" s="176"/>
      <c r="W70" s="176"/>
      <c r="X70" s="176"/>
      <c r="Y70" s="176"/>
      <c r="Z70" s="176"/>
      <c r="AA70" s="176"/>
      <c r="AB70" s="176"/>
      <c r="AC70" s="176"/>
      <c r="AD70" s="176"/>
      <c r="AE70" s="176"/>
      <c r="AF70" s="176"/>
    </row>
    <row r="71" spans="1:32" ht="15" customHeight="1" x14ac:dyDescent="0.25">
      <c r="A71" s="176"/>
      <c r="B71" s="176"/>
      <c r="C71" s="176"/>
      <c r="D71" s="176"/>
      <c r="E71" s="176"/>
      <c r="F71" s="176"/>
      <c r="G71" s="176"/>
      <c r="H71" s="176"/>
      <c r="I71" s="176"/>
      <c r="J71" s="176"/>
      <c r="K71" s="176"/>
      <c r="L71" s="176"/>
      <c r="M71" s="176"/>
      <c r="N71" s="176"/>
      <c r="O71" s="176"/>
      <c r="P71" s="176"/>
      <c r="Q71" s="176"/>
      <c r="R71" s="176"/>
      <c r="S71" s="176"/>
      <c r="T71" s="176"/>
      <c r="U71" s="176"/>
      <c r="V71" s="176"/>
      <c r="W71" s="176"/>
      <c r="X71" s="176"/>
      <c r="Y71" s="176"/>
      <c r="Z71" s="176"/>
      <c r="AA71" s="176"/>
      <c r="AB71" s="176"/>
      <c r="AC71" s="176"/>
      <c r="AD71" s="176"/>
      <c r="AE71" s="176"/>
      <c r="AF71" s="176"/>
    </row>
    <row r="72" spans="1:32" ht="15" customHeight="1" x14ac:dyDescent="0.25">
      <c r="A72" s="176"/>
      <c r="B72" s="176"/>
      <c r="C72" s="176"/>
      <c r="D72" s="176"/>
      <c r="E72" s="176"/>
      <c r="F72" s="176"/>
      <c r="G72" s="176"/>
      <c r="H72" s="176"/>
      <c r="I72" s="176"/>
      <c r="J72" s="176"/>
      <c r="K72" s="176"/>
      <c r="L72" s="176"/>
      <c r="M72" s="176"/>
      <c r="N72" s="176"/>
      <c r="O72" s="176"/>
      <c r="P72" s="176"/>
      <c r="Q72" s="176"/>
      <c r="R72" s="176"/>
      <c r="S72" s="176"/>
      <c r="T72" s="176"/>
      <c r="U72" s="176"/>
      <c r="V72" s="176"/>
      <c r="W72" s="176"/>
      <c r="X72" s="176"/>
      <c r="Y72" s="176"/>
      <c r="Z72" s="176"/>
      <c r="AA72" s="176"/>
      <c r="AB72" s="176"/>
      <c r="AC72" s="176"/>
      <c r="AD72" s="176"/>
      <c r="AE72" s="176"/>
      <c r="AF72" s="176"/>
    </row>
    <row r="73" spans="1:32" ht="15" customHeight="1" x14ac:dyDescent="0.25">
      <c r="A73" s="176"/>
      <c r="B73" s="176"/>
      <c r="C73" s="176"/>
      <c r="D73" s="176"/>
      <c r="E73" s="176"/>
      <c r="F73" s="176"/>
      <c r="G73" s="176"/>
      <c r="H73" s="176"/>
      <c r="I73" s="176"/>
      <c r="J73" s="176"/>
      <c r="K73" s="176"/>
      <c r="L73" s="176"/>
      <c r="M73" s="176"/>
      <c r="N73" s="176"/>
      <c r="O73" s="176"/>
      <c r="P73" s="176"/>
      <c r="Q73" s="176"/>
      <c r="R73" s="176"/>
      <c r="S73" s="176"/>
      <c r="T73" s="176"/>
      <c r="U73" s="176"/>
      <c r="V73" s="176"/>
      <c r="W73" s="176"/>
      <c r="X73" s="176"/>
      <c r="Y73" s="176"/>
      <c r="Z73" s="176"/>
      <c r="AA73" s="176"/>
      <c r="AB73" s="176"/>
      <c r="AC73" s="176"/>
      <c r="AD73" s="176"/>
      <c r="AE73" s="176"/>
      <c r="AF73" s="176"/>
    </row>
    <row r="74" spans="1:32" ht="15" customHeight="1" x14ac:dyDescent="0.25">
      <c r="A74" s="176"/>
      <c r="B74" s="176"/>
      <c r="C74" s="176"/>
      <c r="D74" s="176"/>
      <c r="E74" s="176"/>
      <c r="F74" s="176"/>
      <c r="G74" s="176"/>
      <c r="H74" s="176"/>
      <c r="I74" s="176"/>
      <c r="J74" s="176"/>
      <c r="K74" s="176"/>
      <c r="L74" s="176"/>
      <c r="M74" s="176"/>
      <c r="N74" s="176"/>
      <c r="O74" s="176"/>
      <c r="P74" s="176"/>
      <c r="Q74" s="176"/>
      <c r="R74" s="176"/>
      <c r="S74" s="176"/>
      <c r="T74" s="176"/>
      <c r="U74" s="176"/>
      <c r="V74" s="176"/>
      <c r="W74" s="176"/>
      <c r="X74" s="176"/>
      <c r="Y74" s="176"/>
      <c r="Z74" s="176"/>
      <c r="AA74" s="176"/>
      <c r="AB74" s="176"/>
      <c r="AC74" s="176"/>
      <c r="AD74" s="176"/>
      <c r="AE74" s="176"/>
      <c r="AF74" s="176"/>
    </row>
    <row r="75" spans="1:32" ht="15" customHeight="1" x14ac:dyDescent="0.25">
      <c r="A75" s="176"/>
      <c r="B75" s="176"/>
      <c r="C75" s="176"/>
      <c r="D75" s="176"/>
      <c r="E75" s="176"/>
      <c r="F75" s="176"/>
      <c r="G75" s="176"/>
      <c r="H75" s="176"/>
      <c r="I75" s="176"/>
      <c r="J75" s="176"/>
      <c r="K75" s="176"/>
      <c r="L75" s="176"/>
      <c r="M75" s="176"/>
      <c r="N75" s="176"/>
      <c r="O75" s="176"/>
      <c r="P75" s="176"/>
      <c r="Q75" s="176"/>
      <c r="R75" s="176"/>
      <c r="S75" s="176"/>
      <c r="T75" s="176"/>
      <c r="U75" s="176"/>
      <c r="V75" s="176"/>
      <c r="W75" s="176"/>
      <c r="X75" s="176"/>
      <c r="Y75" s="176"/>
      <c r="Z75" s="176"/>
      <c r="AA75" s="176"/>
      <c r="AB75" s="176"/>
      <c r="AC75" s="176"/>
      <c r="AD75" s="176"/>
      <c r="AE75" s="176"/>
      <c r="AF75" s="176"/>
    </row>
    <row r="76" spans="1:32" ht="15" customHeight="1" x14ac:dyDescent="0.25">
      <c r="A76" s="176"/>
      <c r="B76" s="176"/>
      <c r="C76" s="176"/>
      <c r="D76" s="176"/>
      <c r="E76" s="176"/>
      <c r="F76" s="176"/>
      <c r="G76" s="176"/>
      <c r="H76" s="176"/>
      <c r="I76" s="176"/>
      <c r="J76" s="176"/>
      <c r="K76" s="176"/>
      <c r="L76" s="176"/>
      <c r="M76" s="176"/>
      <c r="N76" s="176"/>
      <c r="O76" s="176"/>
      <c r="P76" s="176"/>
      <c r="Q76" s="176"/>
      <c r="R76" s="176"/>
      <c r="S76" s="176"/>
      <c r="T76" s="176"/>
      <c r="U76" s="176"/>
      <c r="V76" s="176"/>
      <c r="W76" s="176"/>
      <c r="X76" s="176"/>
      <c r="Y76" s="176"/>
      <c r="Z76" s="176"/>
      <c r="AA76" s="176"/>
      <c r="AB76" s="176"/>
      <c r="AC76" s="176"/>
      <c r="AD76" s="176"/>
      <c r="AE76" s="176"/>
      <c r="AF76" s="176"/>
    </row>
    <row r="77" spans="1:32" ht="15" customHeight="1" x14ac:dyDescent="0.25">
      <c r="A77" s="176"/>
      <c r="B77" s="176"/>
      <c r="C77" s="176"/>
      <c r="D77" s="176"/>
      <c r="E77" s="176"/>
      <c r="F77" s="176"/>
      <c r="G77" s="176"/>
      <c r="H77" s="176"/>
      <c r="I77" s="176"/>
      <c r="J77" s="176"/>
      <c r="K77" s="176"/>
      <c r="L77" s="176"/>
      <c r="M77" s="176"/>
      <c r="N77" s="176"/>
      <c r="O77" s="176"/>
      <c r="P77" s="176"/>
      <c r="Q77" s="176"/>
      <c r="R77" s="176"/>
      <c r="S77" s="176"/>
      <c r="T77" s="176"/>
      <c r="U77" s="176"/>
      <c r="V77" s="176"/>
      <c r="W77" s="176"/>
      <c r="X77" s="176"/>
      <c r="Y77" s="176"/>
      <c r="Z77" s="176"/>
      <c r="AA77" s="176"/>
      <c r="AB77" s="176"/>
      <c r="AC77" s="176"/>
      <c r="AD77" s="176"/>
      <c r="AE77" s="176"/>
      <c r="AF77" s="176"/>
    </row>
    <row r="78" spans="1:32" ht="15" customHeight="1" x14ac:dyDescent="0.25">
      <c r="A78" s="176"/>
      <c r="B78" s="176"/>
      <c r="C78" s="176"/>
      <c r="D78" s="176"/>
      <c r="E78" s="176"/>
      <c r="F78" s="176"/>
      <c r="G78" s="176"/>
      <c r="H78" s="176"/>
      <c r="I78" s="176"/>
      <c r="J78" s="176"/>
      <c r="K78" s="176"/>
      <c r="L78" s="176"/>
      <c r="M78" s="176"/>
      <c r="N78" s="176"/>
      <c r="O78" s="176"/>
      <c r="P78" s="176"/>
      <c r="Q78" s="176"/>
      <c r="R78" s="176"/>
      <c r="S78" s="176"/>
      <c r="T78" s="176"/>
      <c r="U78" s="176"/>
      <c r="V78" s="176"/>
      <c r="W78" s="176"/>
      <c r="X78" s="176"/>
      <c r="Y78" s="176"/>
      <c r="Z78" s="176"/>
      <c r="AA78" s="176"/>
      <c r="AB78" s="176"/>
      <c r="AC78" s="176"/>
      <c r="AD78" s="176"/>
      <c r="AE78" s="176"/>
      <c r="AF78" s="176"/>
    </row>
    <row r="79" spans="1:32" ht="15" customHeight="1" x14ac:dyDescent="0.25">
      <c r="A79" s="176"/>
      <c r="B79" s="176"/>
      <c r="C79" s="176"/>
      <c r="D79" s="176"/>
      <c r="E79" s="176"/>
      <c r="F79" s="176"/>
      <c r="G79" s="176"/>
      <c r="H79" s="176"/>
      <c r="I79" s="176"/>
      <c r="J79" s="176"/>
      <c r="K79" s="176"/>
      <c r="L79" s="176"/>
      <c r="M79" s="176"/>
      <c r="N79" s="176"/>
      <c r="O79" s="176"/>
      <c r="P79" s="176"/>
      <c r="Q79" s="176"/>
      <c r="R79" s="176"/>
      <c r="S79" s="176"/>
      <c r="T79" s="176"/>
      <c r="U79" s="176"/>
      <c r="V79" s="176"/>
      <c r="W79" s="176"/>
      <c r="X79" s="176"/>
      <c r="Y79" s="176"/>
      <c r="Z79" s="176"/>
      <c r="AA79" s="176"/>
      <c r="AB79" s="176"/>
      <c r="AC79" s="176"/>
      <c r="AD79" s="176"/>
      <c r="AE79" s="176"/>
      <c r="AF79" s="176"/>
    </row>
    <row r="80" spans="1:32" ht="15" customHeight="1" x14ac:dyDescent="0.25">
      <c r="A80" s="176"/>
      <c r="B80" s="176"/>
      <c r="C80" s="176"/>
      <c r="D80" s="176"/>
      <c r="E80" s="176"/>
      <c r="F80" s="176"/>
      <c r="G80" s="176"/>
      <c r="H80" s="176"/>
      <c r="I80" s="176"/>
      <c r="J80" s="176"/>
      <c r="K80" s="176"/>
      <c r="L80" s="176"/>
      <c r="M80" s="176"/>
      <c r="N80" s="176"/>
      <c r="O80" s="176"/>
      <c r="P80" s="176"/>
      <c r="Q80" s="176"/>
      <c r="R80" s="176"/>
      <c r="S80" s="176"/>
      <c r="T80" s="176"/>
      <c r="U80" s="176"/>
      <c r="V80" s="176"/>
      <c r="W80" s="176"/>
      <c r="X80" s="176"/>
      <c r="Y80" s="176"/>
      <c r="Z80" s="176"/>
      <c r="AA80" s="176"/>
      <c r="AB80" s="176"/>
      <c r="AC80" s="176"/>
      <c r="AD80" s="176"/>
      <c r="AE80" s="176"/>
      <c r="AF80" s="176"/>
    </row>
    <row r="81" spans="1:32" ht="15" customHeight="1" x14ac:dyDescent="0.25">
      <c r="A81" s="176"/>
      <c r="B81" s="176"/>
      <c r="C81" s="176"/>
      <c r="D81" s="176"/>
      <c r="E81" s="176"/>
      <c r="F81" s="176"/>
      <c r="G81" s="176"/>
      <c r="H81" s="176"/>
      <c r="I81" s="176"/>
      <c r="J81" s="176"/>
      <c r="K81" s="176"/>
      <c r="L81" s="176"/>
      <c r="M81" s="176"/>
      <c r="N81" s="176"/>
      <c r="O81" s="176"/>
      <c r="P81" s="176"/>
      <c r="Q81" s="176"/>
      <c r="R81" s="176"/>
      <c r="S81" s="176"/>
      <c r="T81" s="176"/>
      <c r="U81" s="176"/>
      <c r="V81" s="176"/>
      <c r="W81" s="176"/>
      <c r="X81" s="176"/>
      <c r="Y81" s="176"/>
      <c r="Z81" s="176"/>
      <c r="AA81" s="176"/>
      <c r="AB81" s="176"/>
      <c r="AC81" s="176"/>
      <c r="AD81" s="176"/>
      <c r="AE81" s="176"/>
      <c r="AF81" s="176"/>
    </row>
    <row r="82" spans="1:32" ht="15" customHeight="1" x14ac:dyDescent="0.25">
      <c r="A82" s="176"/>
      <c r="B82" s="176"/>
      <c r="C82" s="176"/>
      <c r="D82" s="176"/>
      <c r="E82" s="176"/>
      <c r="F82" s="176"/>
      <c r="G82" s="176"/>
      <c r="H82" s="176"/>
      <c r="I82" s="176"/>
      <c r="J82" s="176"/>
      <c r="K82" s="176"/>
      <c r="L82" s="176"/>
      <c r="M82" s="176"/>
      <c r="N82" s="176"/>
      <c r="O82" s="176"/>
      <c r="P82" s="176"/>
      <c r="Q82" s="176"/>
      <c r="R82" s="176"/>
      <c r="S82" s="176"/>
      <c r="T82" s="176"/>
      <c r="U82" s="176"/>
      <c r="V82" s="176"/>
      <c r="W82" s="176"/>
      <c r="X82" s="176"/>
      <c r="Y82" s="176"/>
      <c r="Z82" s="176"/>
      <c r="AA82" s="176"/>
      <c r="AB82" s="176"/>
      <c r="AC82" s="176"/>
      <c r="AD82" s="176"/>
      <c r="AE82" s="176"/>
      <c r="AF82" s="176"/>
    </row>
    <row r="83" spans="1:32" ht="15" customHeight="1" x14ac:dyDescent="0.25">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row>
    <row r="84" spans="1:32" ht="15" customHeight="1" x14ac:dyDescent="0.25">
      <c r="A84" s="54" t="s">
        <v>197</v>
      </c>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row>
    <row r="85" spans="1:32" ht="15" customHeight="1" x14ac:dyDescent="0.25">
      <c r="A85" s="174" t="s">
        <v>279</v>
      </c>
      <c r="B85" s="174"/>
      <c r="C85" s="174"/>
      <c r="D85" s="174"/>
      <c r="E85" s="174"/>
      <c r="F85" s="174"/>
      <c r="G85" s="174"/>
      <c r="H85" s="174"/>
      <c r="I85" s="174"/>
      <c r="J85" s="174"/>
      <c r="K85" s="174"/>
      <c r="L85" s="174"/>
      <c r="M85" s="174"/>
      <c r="N85" s="174"/>
      <c r="O85" s="174"/>
      <c r="P85" s="174"/>
      <c r="Q85" s="174"/>
      <c r="R85" s="174"/>
      <c r="S85" s="174"/>
      <c r="T85" s="174"/>
      <c r="U85" s="174"/>
      <c r="V85" s="174"/>
      <c r="W85" s="174"/>
      <c r="X85" s="174"/>
      <c r="Y85" s="174"/>
      <c r="Z85" s="174"/>
      <c r="AA85" s="174"/>
      <c r="AB85" s="174"/>
      <c r="AC85" s="174"/>
      <c r="AD85" s="174"/>
      <c r="AE85" s="174"/>
      <c r="AF85" s="174"/>
    </row>
    <row r="86" spans="1:32" ht="15" customHeight="1" x14ac:dyDescent="0.25">
      <c r="A86" s="174"/>
      <c r="B86" s="174"/>
      <c r="C86" s="174"/>
      <c r="D86" s="174"/>
      <c r="E86" s="174"/>
      <c r="F86" s="174"/>
      <c r="G86" s="174"/>
      <c r="H86" s="174"/>
      <c r="I86" s="174"/>
      <c r="J86" s="174"/>
      <c r="K86" s="174"/>
      <c r="L86" s="174"/>
      <c r="M86" s="174"/>
      <c r="N86" s="174"/>
      <c r="O86" s="174"/>
      <c r="P86" s="174"/>
      <c r="Q86" s="174"/>
      <c r="R86" s="174"/>
      <c r="S86" s="174"/>
      <c r="T86" s="174"/>
      <c r="U86" s="174"/>
      <c r="V86" s="174"/>
      <c r="W86" s="174"/>
      <c r="X86" s="174"/>
      <c r="Y86" s="174"/>
      <c r="Z86" s="174"/>
      <c r="AA86" s="174"/>
      <c r="AB86" s="174"/>
      <c r="AC86" s="174"/>
      <c r="AD86" s="174"/>
      <c r="AE86" s="174"/>
      <c r="AF86" s="174"/>
    </row>
    <row r="87" spans="1:32" ht="15" customHeight="1" x14ac:dyDescent="0.25">
      <c r="A87" s="174"/>
      <c r="B87" s="174"/>
      <c r="C87" s="174"/>
      <c r="D87" s="174"/>
      <c r="E87" s="174"/>
      <c r="F87" s="174"/>
      <c r="G87" s="174"/>
      <c r="H87" s="174"/>
      <c r="I87" s="174"/>
      <c r="J87" s="174"/>
      <c r="K87" s="174"/>
      <c r="L87" s="174"/>
      <c r="M87" s="174"/>
      <c r="N87" s="174"/>
      <c r="O87" s="174"/>
      <c r="P87" s="174"/>
      <c r="Q87" s="174"/>
      <c r="R87" s="174"/>
      <c r="S87" s="174"/>
      <c r="T87" s="174"/>
      <c r="U87" s="174"/>
      <c r="V87" s="174"/>
      <c r="W87" s="174"/>
      <c r="X87" s="174"/>
      <c r="Y87" s="174"/>
      <c r="Z87" s="174"/>
      <c r="AA87" s="174"/>
      <c r="AB87" s="174"/>
      <c r="AC87" s="174"/>
      <c r="AD87" s="174"/>
      <c r="AE87" s="174"/>
      <c r="AF87" s="174"/>
    </row>
    <row r="88" spans="1:32" ht="15" customHeight="1" x14ac:dyDescent="0.25">
      <c r="A88" s="174"/>
      <c r="B88" s="174"/>
      <c r="C88" s="174"/>
      <c r="D88" s="174"/>
      <c r="E88" s="174"/>
      <c r="F88" s="174"/>
      <c r="G88" s="174"/>
      <c r="H88" s="174"/>
      <c r="I88" s="174"/>
      <c r="J88" s="174"/>
      <c r="K88" s="174"/>
      <c r="L88" s="174"/>
      <c r="M88" s="174"/>
      <c r="N88" s="174"/>
      <c r="O88" s="174"/>
      <c r="P88" s="174"/>
      <c r="Q88" s="174"/>
      <c r="R88" s="174"/>
      <c r="S88" s="174"/>
      <c r="T88" s="174"/>
      <c r="U88" s="174"/>
      <c r="V88" s="174"/>
      <c r="W88" s="174"/>
      <c r="X88" s="174"/>
      <c r="Y88" s="174"/>
      <c r="Z88" s="174"/>
      <c r="AA88" s="174"/>
      <c r="AB88" s="174"/>
      <c r="AC88" s="174"/>
      <c r="AD88" s="174"/>
      <c r="AE88" s="174"/>
      <c r="AF88" s="174"/>
    </row>
    <row r="89" spans="1:32" ht="15" customHeight="1" x14ac:dyDescent="0.25">
      <c r="A89" s="174"/>
      <c r="B89" s="174"/>
      <c r="C89" s="174"/>
      <c r="D89" s="174"/>
      <c r="E89" s="174"/>
      <c r="F89" s="174"/>
      <c r="G89" s="174"/>
      <c r="H89" s="174"/>
      <c r="I89" s="174"/>
      <c r="J89" s="174"/>
      <c r="K89" s="174"/>
      <c r="L89" s="174"/>
      <c r="M89" s="174"/>
      <c r="N89" s="174"/>
      <c r="O89" s="174"/>
      <c r="P89" s="174"/>
      <c r="Q89" s="174"/>
      <c r="R89" s="174"/>
      <c r="S89" s="174"/>
      <c r="T89" s="174"/>
      <c r="U89" s="174"/>
      <c r="V89" s="174"/>
      <c r="W89" s="174"/>
      <c r="X89" s="174"/>
      <c r="Y89" s="174"/>
      <c r="Z89" s="174"/>
      <c r="AA89" s="174"/>
      <c r="AB89" s="174"/>
      <c r="AC89" s="174"/>
      <c r="AD89" s="174"/>
      <c r="AE89" s="174"/>
      <c r="AF89" s="174"/>
    </row>
    <row r="90" spans="1:32" ht="15" customHeight="1" x14ac:dyDescent="0.25">
      <c r="A90" s="174"/>
      <c r="B90" s="174"/>
      <c r="C90" s="174"/>
      <c r="D90" s="174"/>
      <c r="E90" s="174"/>
      <c r="F90" s="174"/>
      <c r="G90" s="174"/>
      <c r="H90" s="174"/>
      <c r="I90" s="174"/>
      <c r="J90" s="174"/>
      <c r="K90" s="174"/>
      <c r="L90" s="174"/>
      <c r="M90" s="174"/>
      <c r="N90" s="174"/>
      <c r="O90" s="174"/>
      <c r="P90" s="174"/>
      <c r="Q90" s="174"/>
      <c r="R90" s="174"/>
      <c r="S90" s="174"/>
      <c r="T90" s="174"/>
      <c r="U90" s="174"/>
      <c r="V90" s="174"/>
      <c r="W90" s="174"/>
      <c r="X90" s="174"/>
      <c r="Y90" s="174"/>
      <c r="Z90" s="174"/>
      <c r="AA90" s="174"/>
      <c r="AB90" s="174"/>
      <c r="AC90" s="174"/>
      <c r="AD90" s="174"/>
      <c r="AE90" s="174"/>
      <c r="AF90" s="174"/>
    </row>
    <row r="91" spans="1:32" ht="15" customHeight="1" x14ac:dyDescent="0.25">
      <c r="A91" s="174"/>
      <c r="B91" s="174"/>
      <c r="C91" s="174"/>
      <c r="D91" s="174"/>
      <c r="E91" s="174"/>
      <c r="F91" s="174"/>
      <c r="G91" s="174"/>
      <c r="H91" s="174"/>
      <c r="I91" s="174"/>
      <c r="J91" s="174"/>
      <c r="K91" s="174"/>
      <c r="L91" s="174"/>
      <c r="M91" s="174"/>
      <c r="N91" s="174"/>
      <c r="O91" s="174"/>
      <c r="P91" s="174"/>
      <c r="Q91" s="174"/>
      <c r="R91" s="174"/>
      <c r="S91" s="174"/>
      <c r="T91" s="174"/>
      <c r="U91" s="174"/>
      <c r="V91" s="174"/>
      <c r="W91" s="174"/>
      <c r="X91" s="174"/>
      <c r="Y91" s="174"/>
      <c r="Z91" s="174"/>
      <c r="AA91" s="174"/>
      <c r="AB91" s="174"/>
      <c r="AC91" s="174"/>
      <c r="AD91" s="174"/>
      <c r="AE91" s="174"/>
      <c r="AF91" s="174"/>
    </row>
    <row r="92" spans="1:32" ht="15" customHeight="1" x14ac:dyDescent="0.25">
      <c r="A92" s="174"/>
      <c r="B92" s="174"/>
      <c r="C92" s="174"/>
      <c r="D92" s="174"/>
      <c r="E92" s="174"/>
      <c r="F92" s="174"/>
      <c r="G92" s="174"/>
      <c r="H92" s="174"/>
      <c r="I92" s="174"/>
      <c r="J92" s="174"/>
      <c r="K92" s="174"/>
      <c r="L92" s="174"/>
      <c r="M92" s="174"/>
      <c r="N92" s="174"/>
      <c r="O92" s="174"/>
      <c r="P92" s="174"/>
      <c r="Q92" s="174"/>
      <c r="R92" s="174"/>
      <c r="S92" s="174"/>
      <c r="T92" s="174"/>
      <c r="U92" s="174"/>
      <c r="V92" s="174"/>
      <c r="W92" s="174"/>
      <c r="X92" s="174"/>
      <c r="Y92" s="174"/>
      <c r="Z92" s="174"/>
      <c r="AA92" s="174"/>
      <c r="AB92" s="174"/>
      <c r="AC92" s="174"/>
      <c r="AD92" s="174"/>
      <c r="AE92" s="174"/>
      <c r="AF92" s="174"/>
    </row>
    <row r="93" spans="1:32" ht="15" customHeight="1" x14ac:dyDescent="0.25">
      <c r="A93" s="174"/>
      <c r="B93" s="174"/>
      <c r="C93" s="174"/>
      <c r="D93" s="174"/>
      <c r="E93" s="174"/>
      <c r="F93" s="174"/>
      <c r="G93" s="174"/>
      <c r="H93" s="174"/>
      <c r="I93" s="174"/>
      <c r="J93" s="174"/>
      <c r="K93" s="174"/>
      <c r="L93" s="174"/>
      <c r="M93" s="174"/>
      <c r="N93" s="174"/>
      <c r="O93" s="174"/>
      <c r="P93" s="174"/>
      <c r="Q93" s="174"/>
      <c r="R93" s="174"/>
      <c r="S93" s="174"/>
      <c r="T93" s="174"/>
      <c r="U93" s="174"/>
      <c r="V93" s="174"/>
      <c r="W93" s="174"/>
      <c r="X93" s="174"/>
      <c r="Y93" s="174"/>
      <c r="Z93" s="174"/>
      <c r="AA93" s="174"/>
      <c r="AB93" s="174"/>
      <c r="AC93" s="174"/>
      <c r="AD93" s="174"/>
      <c r="AE93" s="174"/>
      <c r="AF93" s="174"/>
    </row>
    <row r="94" spans="1:32" ht="15" customHeight="1" x14ac:dyDescent="0.25">
      <c r="A94" s="174"/>
      <c r="B94" s="174"/>
      <c r="C94" s="174"/>
      <c r="D94" s="174"/>
      <c r="E94" s="174"/>
      <c r="F94" s="174"/>
      <c r="G94" s="174"/>
      <c r="H94" s="174"/>
      <c r="I94" s="174"/>
      <c r="J94" s="174"/>
      <c r="K94" s="174"/>
      <c r="L94" s="174"/>
      <c r="M94" s="174"/>
      <c r="N94" s="174"/>
      <c r="O94" s="174"/>
      <c r="P94" s="174"/>
      <c r="Q94" s="174"/>
      <c r="R94" s="174"/>
      <c r="S94" s="174"/>
      <c r="T94" s="174"/>
      <c r="U94" s="174"/>
      <c r="V94" s="174"/>
      <c r="W94" s="174"/>
      <c r="X94" s="174"/>
      <c r="Y94" s="174"/>
      <c r="Z94" s="174"/>
      <c r="AA94" s="174"/>
      <c r="AB94" s="174"/>
      <c r="AC94" s="174"/>
      <c r="AD94" s="174"/>
      <c r="AE94" s="174"/>
      <c r="AF94" s="174"/>
    </row>
    <row r="95" spans="1:32" ht="15" customHeight="1" x14ac:dyDescent="0.25">
      <c r="A95" s="174"/>
      <c r="B95" s="174"/>
      <c r="C95" s="174"/>
      <c r="D95" s="174"/>
      <c r="E95" s="174"/>
      <c r="F95" s="174"/>
      <c r="G95" s="174"/>
      <c r="H95" s="174"/>
      <c r="I95" s="174"/>
      <c r="J95" s="174"/>
      <c r="K95" s="174"/>
      <c r="L95" s="174"/>
      <c r="M95" s="174"/>
      <c r="N95" s="174"/>
      <c r="O95" s="174"/>
      <c r="P95" s="174"/>
      <c r="Q95" s="174"/>
      <c r="R95" s="174"/>
      <c r="S95" s="174"/>
      <c r="T95" s="174"/>
      <c r="U95" s="174"/>
      <c r="V95" s="174"/>
      <c r="W95" s="174"/>
      <c r="X95" s="174"/>
      <c r="Y95" s="174"/>
      <c r="Z95" s="174"/>
      <c r="AA95" s="174"/>
      <c r="AB95" s="174"/>
      <c r="AC95" s="174"/>
      <c r="AD95" s="174"/>
      <c r="AE95" s="174"/>
      <c r="AF95" s="174"/>
    </row>
    <row r="96" spans="1:32" ht="15" customHeight="1" x14ac:dyDescent="0.25">
      <c r="A96" s="174"/>
      <c r="B96" s="174"/>
      <c r="C96" s="174"/>
      <c r="D96" s="174"/>
      <c r="E96" s="174"/>
      <c r="F96" s="174"/>
      <c r="G96" s="174"/>
      <c r="H96" s="174"/>
      <c r="I96" s="174"/>
      <c r="J96" s="174"/>
      <c r="K96" s="174"/>
      <c r="L96" s="174"/>
      <c r="M96" s="174"/>
      <c r="N96" s="174"/>
      <c r="O96" s="174"/>
      <c r="P96" s="174"/>
      <c r="Q96" s="174"/>
      <c r="R96" s="174"/>
      <c r="S96" s="174"/>
      <c r="T96" s="174"/>
      <c r="U96" s="174"/>
      <c r="V96" s="174"/>
      <c r="W96" s="174"/>
      <c r="X96" s="174"/>
      <c r="Y96" s="174"/>
      <c r="Z96" s="174"/>
      <c r="AA96" s="174"/>
      <c r="AB96" s="174"/>
      <c r="AC96" s="174"/>
      <c r="AD96" s="174"/>
      <c r="AE96" s="174"/>
      <c r="AF96" s="174"/>
    </row>
    <row r="97" spans="1:32" ht="15" customHeight="1" x14ac:dyDescent="0.25">
      <c r="A97" s="174"/>
      <c r="B97" s="174"/>
      <c r="C97" s="174"/>
      <c r="D97" s="174"/>
      <c r="E97" s="174"/>
      <c r="F97" s="174"/>
      <c r="G97" s="174"/>
      <c r="H97" s="174"/>
      <c r="I97" s="174"/>
      <c r="J97" s="174"/>
      <c r="K97" s="174"/>
      <c r="L97" s="174"/>
      <c r="M97" s="174"/>
      <c r="N97" s="174"/>
      <c r="O97" s="174"/>
      <c r="P97" s="174"/>
      <c r="Q97" s="174"/>
      <c r="R97" s="174"/>
      <c r="S97" s="174"/>
      <c r="T97" s="174"/>
      <c r="U97" s="174"/>
      <c r="V97" s="174"/>
      <c r="W97" s="174"/>
      <c r="X97" s="174"/>
      <c r="Y97" s="174"/>
      <c r="Z97" s="174"/>
      <c r="AA97" s="174"/>
      <c r="AB97" s="174"/>
      <c r="AC97" s="174"/>
      <c r="AD97" s="174"/>
      <c r="AE97" s="174"/>
      <c r="AF97" s="174"/>
    </row>
    <row r="98" spans="1:32" ht="15" customHeight="1" x14ac:dyDescent="0.25">
      <c r="A98" s="174"/>
      <c r="B98" s="174"/>
      <c r="C98" s="174"/>
      <c r="D98" s="174"/>
      <c r="E98" s="174"/>
      <c r="F98" s="174"/>
      <c r="G98" s="174"/>
      <c r="H98" s="174"/>
      <c r="I98" s="174"/>
      <c r="J98" s="174"/>
      <c r="K98" s="174"/>
      <c r="L98" s="174"/>
      <c r="M98" s="174"/>
      <c r="N98" s="174"/>
      <c r="O98" s="174"/>
      <c r="P98" s="174"/>
      <c r="Q98" s="174"/>
      <c r="R98" s="174"/>
      <c r="S98" s="174"/>
      <c r="T98" s="174"/>
      <c r="U98" s="174"/>
      <c r="V98" s="174"/>
      <c r="W98" s="174"/>
      <c r="X98" s="174"/>
      <c r="Y98" s="174"/>
      <c r="Z98" s="174"/>
      <c r="AA98" s="174"/>
      <c r="AB98" s="174"/>
      <c r="AC98" s="174"/>
      <c r="AD98" s="174"/>
      <c r="AE98" s="174"/>
      <c r="AF98" s="174"/>
    </row>
    <row r="99" spans="1:32" ht="15" customHeight="1" x14ac:dyDescent="0.25">
      <c r="A99" s="174"/>
      <c r="B99" s="174"/>
      <c r="C99" s="174"/>
      <c r="D99" s="174"/>
      <c r="E99" s="174"/>
      <c r="F99" s="174"/>
      <c r="G99" s="174"/>
      <c r="H99" s="174"/>
      <c r="I99" s="174"/>
      <c r="J99" s="174"/>
      <c r="K99" s="174"/>
      <c r="L99" s="174"/>
      <c r="M99" s="174"/>
      <c r="N99" s="174"/>
      <c r="O99" s="174"/>
      <c r="P99" s="174"/>
      <c r="Q99" s="174"/>
      <c r="R99" s="174"/>
      <c r="S99" s="174"/>
      <c r="T99" s="174"/>
      <c r="U99" s="174"/>
      <c r="V99" s="174"/>
      <c r="W99" s="174"/>
      <c r="X99" s="174"/>
      <c r="Y99" s="174"/>
      <c r="Z99" s="174"/>
      <c r="AA99" s="174"/>
      <c r="AB99" s="174"/>
      <c r="AC99" s="174"/>
      <c r="AD99" s="174"/>
      <c r="AE99" s="174"/>
      <c r="AF99" s="174"/>
    </row>
    <row r="100" spans="1:32" ht="15" customHeight="1" x14ac:dyDescent="0.25">
      <c r="A100" s="174"/>
      <c r="B100" s="174"/>
      <c r="C100" s="174"/>
      <c r="D100" s="174"/>
      <c r="E100" s="174"/>
      <c r="F100" s="174"/>
      <c r="G100" s="174"/>
      <c r="H100" s="174"/>
      <c r="I100" s="174"/>
      <c r="J100" s="174"/>
      <c r="K100" s="174"/>
      <c r="L100" s="174"/>
      <c r="M100" s="174"/>
      <c r="N100" s="174"/>
      <c r="O100" s="174"/>
      <c r="P100" s="174"/>
      <c r="Q100" s="174"/>
      <c r="R100" s="174"/>
      <c r="S100" s="174"/>
      <c r="T100" s="174"/>
      <c r="U100" s="174"/>
      <c r="V100" s="174"/>
      <c r="W100" s="174"/>
      <c r="X100" s="174"/>
      <c r="Y100" s="174"/>
      <c r="Z100" s="174"/>
      <c r="AA100" s="174"/>
      <c r="AB100" s="174"/>
      <c r="AC100" s="174"/>
      <c r="AD100" s="174"/>
      <c r="AE100" s="174"/>
      <c r="AF100" s="174"/>
    </row>
    <row r="101" spans="1:32" ht="15" customHeight="1" x14ac:dyDescent="0.25">
      <c r="A101" s="174"/>
      <c r="B101" s="174"/>
      <c r="C101" s="174"/>
      <c r="D101" s="174"/>
      <c r="E101" s="174"/>
      <c r="F101" s="174"/>
      <c r="G101" s="174"/>
      <c r="H101" s="174"/>
      <c r="I101" s="174"/>
      <c r="J101" s="174"/>
      <c r="K101" s="174"/>
      <c r="L101" s="174"/>
      <c r="M101" s="174"/>
      <c r="N101" s="174"/>
      <c r="O101" s="174"/>
      <c r="P101" s="174"/>
      <c r="Q101" s="174"/>
      <c r="R101" s="174"/>
      <c r="S101" s="174"/>
      <c r="T101" s="174"/>
      <c r="U101" s="174"/>
      <c r="V101" s="174"/>
      <c r="W101" s="174"/>
      <c r="X101" s="174"/>
      <c r="Y101" s="174"/>
      <c r="Z101" s="174"/>
      <c r="AA101" s="174"/>
      <c r="AB101" s="174"/>
      <c r="AC101" s="174"/>
      <c r="AD101" s="174"/>
      <c r="AE101" s="174"/>
      <c r="AF101" s="174"/>
    </row>
    <row r="102" spans="1:32" ht="15" customHeight="1" x14ac:dyDescent="0.25">
      <c r="A102" s="174"/>
      <c r="B102" s="174"/>
      <c r="C102" s="174"/>
      <c r="D102" s="174"/>
      <c r="E102" s="174"/>
      <c r="F102" s="174"/>
      <c r="G102" s="174"/>
      <c r="H102" s="174"/>
      <c r="I102" s="174"/>
      <c r="J102" s="174"/>
      <c r="K102" s="174"/>
      <c r="L102" s="174"/>
      <c r="M102" s="174"/>
      <c r="N102" s="174"/>
      <c r="O102" s="174"/>
      <c r="P102" s="174"/>
      <c r="Q102" s="174"/>
      <c r="R102" s="174"/>
      <c r="S102" s="174"/>
      <c r="T102" s="174"/>
      <c r="U102" s="174"/>
      <c r="V102" s="174"/>
      <c r="W102" s="174"/>
      <c r="X102" s="174"/>
      <c r="Y102" s="174"/>
      <c r="Z102" s="174"/>
      <c r="AA102" s="174"/>
      <c r="AB102" s="174"/>
      <c r="AC102" s="174"/>
      <c r="AD102" s="174"/>
      <c r="AE102" s="174"/>
      <c r="AF102" s="174"/>
    </row>
    <row r="103" spans="1:32" ht="15" customHeight="1" x14ac:dyDescent="0.25">
      <c r="A103" s="89"/>
      <c r="B103" s="89"/>
      <c r="C103" s="89"/>
      <c r="D103" s="89"/>
      <c r="E103" s="89"/>
      <c r="F103" s="89"/>
      <c r="G103" s="89"/>
      <c r="H103" s="89"/>
      <c r="I103" s="89"/>
      <c r="J103" s="89"/>
      <c r="K103" s="89"/>
      <c r="L103" s="89"/>
      <c r="M103" s="89"/>
      <c r="N103" s="89"/>
      <c r="O103" s="89"/>
      <c r="P103" s="89"/>
      <c r="Q103" s="89"/>
      <c r="R103" s="89"/>
      <c r="S103" s="89"/>
      <c r="T103" s="89"/>
      <c r="U103" s="89"/>
      <c r="V103" s="89"/>
      <c r="W103" s="89"/>
      <c r="X103" s="89"/>
      <c r="Y103" s="89"/>
      <c r="Z103" s="89"/>
      <c r="AA103" s="89"/>
      <c r="AB103" s="89"/>
      <c r="AC103" s="89"/>
      <c r="AD103" s="89"/>
      <c r="AE103" s="89"/>
      <c r="AF103" s="89"/>
    </row>
    <row r="104" spans="1:32" ht="15" customHeight="1" x14ac:dyDescent="0.25">
      <c r="A104" s="54" t="s">
        <v>196</v>
      </c>
      <c r="B104" s="89"/>
      <c r="C104" s="89"/>
      <c r="D104" s="89"/>
      <c r="E104" s="89"/>
      <c r="F104" s="89"/>
      <c r="G104" s="89"/>
      <c r="H104" s="89"/>
      <c r="I104" s="89"/>
      <c r="J104" s="89"/>
      <c r="K104" s="89"/>
      <c r="L104" s="89"/>
      <c r="M104" s="89"/>
      <c r="N104" s="89"/>
      <c r="O104" s="89"/>
      <c r="P104" s="89"/>
      <c r="Q104" s="89"/>
      <c r="R104" s="89"/>
      <c r="S104" s="89"/>
      <c r="T104" s="89"/>
      <c r="U104" s="89"/>
      <c r="V104" s="89"/>
      <c r="W104" s="89"/>
      <c r="X104" s="89"/>
      <c r="Y104" s="89"/>
      <c r="Z104" s="89"/>
      <c r="AA104" s="89"/>
      <c r="AB104" s="89"/>
      <c r="AC104" s="89"/>
      <c r="AD104" s="89"/>
      <c r="AE104" s="89"/>
    </row>
    <row r="105" spans="1:32" ht="15" customHeight="1" x14ac:dyDescent="0.25">
      <c r="A105" s="174" t="s">
        <v>289</v>
      </c>
      <c r="B105" s="174"/>
      <c r="C105" s="174"/>
      <c r="D105" s="174"/>
      <c r="E105" s="174"/>
      <c r="F105" s="174"/>
      <c r="G105" s="174"/>
      <c r="H105" s="174"/>
      <c r="I105" s="174"/>
      <c r="J105" s="174"/>
      <c r="K105" s="174"/>
      <c r="L105" s="174"/>
      <c r="M105" s="174"/>
      <c r="N105" s="174"/>
      <c r="O105" s="174"/>
      <c r="P105" s="174"/>
      <c r="Q105" s="174"/>
      <c r="R105" s="174"/>
      <c r="S105" s="174"/>
      <c r="T105" s="174"/>
      <c r="U105" s="174"/>
      <c r="V105" s="174"/>
      <c r="W105" s="174"/>
      <c r="X105" s="174"/>
      <c r="Y105" s="174"/>
      <c r="Z105" s="174"/>
      <c r="AA105" s="174"/>
      <c r="AB105" s="174"/>
      <c r="AC105" s="174"/>
      <c r="AD105" s="174"/>
      <c r="AE105" s="174"/>
      <c r="AF105" s="174"/>
    </row>
    <row r="106" spans="1:32" ht="15" customHeight="1" x14ac:dyDescent="0.25">
      <c r="A106" s="174"/>
      <c r="B106" s="174"/>
      <c r="C106" s="174"/>
      <c r="D106" s="174"/>
      <c r="E106" s="174"/>
      <c r="F106" s="174"/>
      <c r="G106" s="174"/>
      <c r="H106" s="174"/>
      <c r="I106" s="174"/>
      <c r="J106" s="174"/>
      <c r="K106" s="174"/>
      <c r="L106" s="174"/>
      <c r="M106" s="174"/>
      <c r="N106" s="174"/>
      <c r="O106" s="174"/>
      <c r="P106" s="174"/>
      <c r="Q106" s="174"/>
      <c r="R106" s="174"/>
      <c r="S106" s="174"/>
      <c r="T106" s="174"/>
      <c r="U106" s="174"/>
      <c r="V106" s="174"/>
      <c r="W106" s="174"/>
      <c r="X106" s="174"/>
      <c r="Y106" s="174"/>
      <c r="Z106" s="174"/>
      <c r="AA106" s="174"/>
      <c r="AB106" s="174"/>
      <c r="AC106" s="174"/>
      <c r="AD106" s="174"/>
      <c r="AE106" s="174"/>
      <c r="AF106" s="174"/>
    </row>
    <row r="107" spans="1:32" ht="15" customHeight="1" x14ac:dyDescent="0.25">
      <c r="A107" s="174"/>
      <c r="B107" s="174"/>
      <c r="C107" s="174"/>
      <c r="D107" s="174"/>
      <c r="E107" s="174"/>
      <c r="F107" s="174"/>
      <c r="G107" s="174"/>
      <c r="H107" s="174"/>
      <c r="I107" s="174"/>
      <c r="J107" s="174"/>
      <c r="K107" s="174"/>
      <c r="L107" s="174"/>
      <c r="M107" s="174"/>
      <c r="N107" s="174"/>
      <c r="O107" s="174"/>
      <c r="P107" s="174"/>
      <c r="Q107" s="174"/>
      <c r="R107" s="174"/>
      <c r="S107" s="174"/>
      <c r="T107" s="174"/>
      <c r="U107" s="174"/>
      <c r="V107" s="174"/>
      <c r="W107" s="174"/>
      <c r="X107" s="174"/>
      <c r="Y107" s="174"/>
      <c r="Z107" s="174"/>
      <c r="AA107" s="174"/>
      <c r="AB107" s="174"/>
      <c r="AC107" s="174"/>
      <c r="AD107" s="174"/>
      <c r="AE107" s="174"/>
      <c r="AF107" s="174"/>
    </row>
    <row r="108" spans="1:32" ht="15" customHeight="1" x14ac:dyDescent="0.25">
      <c r="A108" s="174"/>
      <c r="B108" s="174"/>
      <c r="C108" s="174"/>
      <c r="D108" s="174"/>
      <c r="E108" s="174"/>
      <c r="F108" s="174"/>
      <c r="G108" s="174"/>
      <c r="H108" s="174"/>
      <c r="I108" s="174"/>
      <c r="J108" s="174"/>
      <c r="K108" s="174"/>
      <c r="L108" s="174"/>
      <c r="M108" s="174"/>
      <c r="N108" s="174"/>
      <c r="O108" s="174"/>
      <c r="P108" s="174"/>
      <c r="Q108" s="174"/>
      <c r="R108" s="174"/>
      <c r="S108" s="174"/>
      <c r="T108" s="174"/>
      <c r="U108" s="174"/>
      <c r="V108" s="174"/>
      <c r="W108" s="174"/>
      <c r="X108" s="174"/>
      <c r="Y108" s="174"/>
      <c r="Z108" s="174"/>
      <c r="AA108" s="174"/>
      <c r="AB108" s="174"/>
      <c r="AC108" s="174"/>
      <c r="AD108" s="174"/>
      <c r="AE108" s="174"/>
      <c r="AF108" s="174"/>
    </row>
    <row r="109" spans="1:32" ht="15" customHeight="1" x14ac:dyDescent="0.25">
      <c r="A109" s="174"/>
      <c r="B109" s="174"/>
      <c r="C109" s="174"/>
      <c r="D109" s="174"/>
      <c r="E109" s="174"/>
      <c r="F109" s="174"/>
      <c r="G109" s="174"/>
      <c r="H109" s="174"/>
      <c r="I109" s="174"/>
      <c r="J109" s="174"/>
      <c r="K109" s="174"/>
      <c r="L109" s="174"/>
      <c r="M109" s="174"/>
      <c r="N109" s="174"/>
      <c r="O109" s="174"/>
      <c r="P109" s="174"/>
      <c r="Q109" s="174"/>
      <c r="R109" s="174"/>
      <c r="S109" s="174"/>
      <c r="T109" s="174"/>
      <c r="U109" s="174"/>
      <c r="V109" s="174"/>
      <c r="W109" s="174"/>
      <c r="X109" s="174"/>
      <c r="Y109" s="174"/>
      <c r="Z109" s="174"/>
      <c r="AA109" s="174"/>
      <c r="AB109" s="174"/>
      <c r="AC109" s="174"/>
      <c r="AD109" s="174"/>
      <c r="AE109" s="174"/>
      <c r="AF109" s="174"/>
    </row>
    <row r="110" spans="1:32" ht="15" customHeight="1" x14ac:dyDescent="0.25">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row>
    <row r="111" spans="1:32" ht="15" customHeight="1" x14ac:dyDescent="0.25">
      <c r="A111" s="54" t="s">
        <v>250</v>
      </c>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row>
    <row r="112" spans="1:32" ht="15" customHeight="1" x14ac:dyDescent="0.25">
      <c r="A112" s="174" t="s">
        <v>293</v>
      </c>
      <c r="B112" s="174"/>
      <c r="C112" s="174"/>
      <c r="D112" s="174"/>
      <c r="E112" s="174"/>
      <c r="F112" s="174"/>
      <c r="G112" s="174"/>
      <c r="H112" s="174"/>
      <c r="I112" s="174"/>
      <c r="J112" s="174"/>
      <c r="K112" s="174"/>
      <c r="L112" s="174"/>
      <c r="M112" s="174"/>
      <c r="N112" s="174"/>
      <c r="O112" s="174"/>
      <c r="P112" s="174"/>
      <c r="Q112" s="174"/>
      <c r="R112" s="174"/>
      <c r="S112" s="174"/>
      <c r="T112" s="174"/>
      <c r="U112" s="174"/>
      <c r="V112" s="174"/>
      <c r="W112" s="174"/>
      <c r="X112" s="174"/>
      <c r="Y112" s="174"/>
      <c r="Z112" s="174"/>
      <c r="AA112" s="174"/>
      <c r="AB112" s="174"/>
      <c r="AC112" s="174"/>
      <c r="AD112" s="174"/>
      <c r="AE112" s="174"/>
      <c r="AF112" s="174"/>
    </row>
    <row r="113" spans="1:32" ht="15" customHeight="1" x14ac:dyDescent="0.25">
      <c r="A113" s="174"/>
      <c r="B113" s="174"/>
      <c r="C113" s="174"/>
      <c r="D113" s="174"/>
      <c r="E113" s="174"/>
      <c r="F113" s="174"/>
      <c r="G113" s="174"/>
      <c r="H113" s="174"/>
      <c r="I113" s="174"/>
      <c r="J113" s="174"/>
      <c r="K113" s="174"/>
      <c r="L113" s="174"/>
      <c r="M113" s="174"/>
      <c r="N113" s="174"/>
      <c r="O113" s="174"/>
      <c r="P113" s="174"/>
      <c r="Q113" s="174"/>
      <c r="R113" s="174"/>
      <c r="S113" s="174"/>
      <c r="T113" s="174"/>
      <c r="U113" s="174"/>
      <c r="V113" s="174"/>
      <c r="W113" s="174"/>
      <c r="X113" s="174"/>
      <c r="Y113" s="174"/>
      <c r="Z113" s="174"/>
      <c r="AA113" s="174"/>
      <c r="AB113" s="174"/>
      <c r="AC113" s="174"/>
      <c r="AD113" s="174"/>
      <c r="AE113" s="174"/>
      <c r="AF113" s="174"/>
    </row>
    <row r="114" spans="1:32" ht="15" customHeight="1" x14ac:dyDescent="0.25">
      <c r="A114" s="174"/>
      <c r="B114" s="174"/>
      <c r="C114" s="174"/>
      <c r="D114" s="174"/>
      <c r="E114" s="174"/>
      <c r="F114" s="174"/>
      <c r="G114" s="174"/>
      <c r="H114" s="174"/>
      <c r="I114" s="174"/>
      <c r="J114" s="174"/>
      <c r="K114" s="174"/>
      <c r="L114" s="174"/>
      <c r="M114" s="174"/>
      <c r="N114" s="174"/>
      <c r="O114" s="174"/>
      <c r="P114" s="174"/>
      <c r="Q114" s="174"/>
      <c r="R114" s="174"/>
      <c r="S114" s="174"/>
      <c r="T114" s="174"/>
      <c r="U114" s="174"/>
      <c r="V114" s="174"/>
      <c r="W114" s="174"/>
      <c r="X114" s="174"/>
      <c r="Y114" s="174"/>
      <c r="Z114" s="174"/>
      <c r="AA114" s="174"/>
      <c r="AB114" s="174"/>
      <c r="AC114" s="174"/>
      <c r="AD114" s="174"/>
      <c r="AE114" s="174"/>
      <c r="AF114" s="174"/>
    </row>
    <row r="115" spans="1:32" ht="15" customHeight="1" x14ac:dyDescent="0.25">
      <c r="A115" s="174"/>
      <c r="B115" s="174"/>
      <c r="C115" s="174"/>
      <c r="D115" s="174"/>
      <c r="E115" s="174"/>
      <c r="F115" s="174"/>
      <c r="G115" s="174"/>
      <c r="H115" s="174"/>
      <c r="I115" s="174"/>
      <c r="J115" s="174"/>
      <c r="K115" s="174"/>
      <c r="L115" s="174"/>
      <c r="M115" s="174"/>
      <c r="N115" s="174"/>
      <c r="O115" s="174"/>
      <c r="P115" s="174"/>
      <c r="Q115" s="174"/>
      <c r="R115" s="174"/>
      <c r="S115" s="174"/>
      <c r="T115" s="174"/>
      <c r="U115" s="174"/>
      <c r="V115" s="174"/>
      <c r="W115" s="174"/>
      <c r="X115" s="174"/>
      <c r="Y115" s="174"/>
      <c r="Z115" s="174"/>
      <c r="AA115" s="174"/>
      <c r="AB115" s="174"/>
      <c r="AC115" s="174"/>
      <c r="AD115" s="174"/>
      <c r="AE115" s="174"/>
      <c r="AF115" s="174"/>
    </row>
    <row r="116" spans="1:32" ht="15" customHeight="1" x14ac:dyDescent="0.25">
      <c r="A116" s="174"/>
      <c r="B116" s="174"/>
      <c r="C116" s="174"/>
      <c r="D116" s="174"/>
      <c r="E116" s="174"/>
      <c r="F116" s="174"/>
      <c r="G116" s="174"/>
      <c r="H116" s="174"/>
      <c r="I116" s="174"/>
      <c r="J116" s="174"/>
      <c r="K116" s="174"/>
      <c r="L116" s="174"/>
      <c r="M116" s="174"/>
      <c r="N116" s="174"/>
      <c r="O116" s="174"/>
      <c r="P116" s="174"/>
      <c r="Q116" s="174"/>
      <c r="R116" s="174"/>
      <c r="S116" s="174"/>
      <c r="T116" s="174"/>
      <c r="U116" s="174"/>
      <c r="V116" s="174"/>
      <c r="W116" s="174"/>
      <c r="X116" s="174"/>
      <c r="Y116" s="174"/>
      <c r="Z116" s="174"/>
      <c r="AA116" s="174"/>
      <c r="AB116" s="174"/>
      <c r="AC116" s="174"/>
      <c r="AD116" s="174"/>
      <c r="AE116" s="174"/>
      <c r="AF116" s="174"/>
    </row>
    <row r="117" spans="1:32" ht="15" customHeight="1" x14ac:dyDescent="0.25">
      <c r="A117" s="174"/>
      <c r="B117" s="174"/>
      <c r="C117" s="174"/>
      <c r="D117" s="174"/>
      <c r="E117" s="174"/>
      <c r="F117" s="174"/>
      <c r="G117" s="174"/>
      <c r="H117" s="174"/>
      <c r="I117" s="174"/>
      <c r="J117" s="174"/>
      <c r="K117" s="174"/>
      <c r="L117" s="174"/>
      <c r="M117" s="174"/>
      <c r="N117" s="174"/>
      <c r="O117" s="174"/>
      <c r="P117" s="174"/>
      <c r="Q117" s="174"/>
      <c r="R117" s="174"/>
      <c r="S117" s="174"/>
      <c r="T117" s="174"/>
      <c r="U117" s="174"/>
      <c r="V117" s="174"/>
      <c r="W117" s="174"/>
      <c r="X117" s="174"/>
      <c r="Y117" s="174"/>
      <c r="Z117" s="174"/>
      <c r="AA117" s="174"/>
      <c r="AB117" s="174"/>
      <c r="AC117" s="174"/>
      <c r="AD117" s="174"/>
      <c r="AE117" s="174"/>
      <c r="AF117" s="174"/>
    </row>
    <row r="118" spans="1:32" ht="15" customHeight="1" x14ac:dyDescent="0.25">
      <c r="A118" s="174"/>
      <c r="B118" s="174"/>
      <c r="C118" s="174"/>
      <c r="D118" s="174"/>
      <c r="E118" s="174"/>
      <c r="F118" s="174"/>
      <c r="G118" s="174"/>
      <c r="H118" s="174"/>
      <c r="I118" s="174"/>
      <c r="J118" s="174"/>
      <c r="K118" s="174"/>
      <c r="L118" s="174"/>
      <c r="M118" s="174"/>
      <c r="N118" s="174"/>
      <c r="O118" s="174"/>
      <c r="P118" s="174"/>
      <c r="Q118" s="174"/>
      <c r="R118" s="174"/>
      <c r="S118" s="174"/>
      <c r="T118" s="174"/>
      <c r="U118" s="174"/>
      <c r="V118" s="174"/>
      <c r="W118" s="174"/>
      <c r="X118" s="174"/>
      <c r="Y118" s="174"/>
      <c r="Z118" s="174"/>
      <c r="AA118" s="174"/>
      <c r="AB118" s="174"/>
      <c r="AC118" s="174"/>
      <c r="AD118" s="174"/>
      <c r="AE118" s="174"/>
      <c r="AF118" s="174"/>
    </row>
    <row r="119" spans="1:32" ht="15" customHeight="1" x14ac:dyDescent="0.25">
      <c r="A119" s="174"/>
      <c r="B119" s="174"/>
      <c r="C119" s="174"/>
      <c r="D119" s="174"/>
      <c r="E119" s="174"/>
      <c r="F119" s="174"/>
      <c r="G119" s="174"/>
      <c r="H119" s="174"/>
      <c r="I119" s="174"/>
      <c r="J119" s="174"/>
      <c r="K119" s="174"/>
      <c r="L119" s="174"/>
      <c r="M119" s="174"/>
      <c r="N119" s="174"/>
      <c r="O119" s="174"/>
      <c r="P119" s="174"/>
      <c r="Q119" s="174"/>
      <c r="R119" s="174"/>
      <c r="S119" s="174"/>
      <c r="T119" s="174"/>
      <c r="U119" s="174"/>
      <c r="V119" s="174"/>
      <c r="W119" s="174"/>
      <c r="X119" s="174"/>
      <c r="Y119" s="174"/>
      <c r="Z119" s="174"/>
      <c r="AA119" s="174"/>
      <c r="AB119" s="174"/>
      <c r="AC119" s="174"/>
      <c r="AD119" s="174"/>
      <c r="AE119" s="174"/>
      <c r="AF119" s="174"/>
    </row>
    <row r="120" spans="1:32" ht="15" customHeight="1" x14ac:dyDescent="0.25">
      <c r="A120" s="174"/>
      <c r="B120" s="174"/>
      <c r="C120" s="174"/>
      <c r="D120" s="174"/>
      <c r="E120" s="174"/>
      <c r="F120" s="174"/>
      <c r="G120" s="174"/>
      <c r="H120" s="174"/>
      <c r="I120" s="174"/>
      <c r="J120" s="174"/>
      <c r="K120" s="174"/>
      <c r="L120" s="174"/>
      <c r="M120" s="174"/>
      <c r="N120" s="174"/>
      <c r="O120" s="174"/>
      <c r="P120" s="174"/>
      <c r="Q120" s="174"/>
      <c r="R120" s="174"/>
      <c r="S120" s="174"/>
      <c r="T120" s="174"/>
      <c r="U120" s="174"/>
      <c r="V120" s="174"/>
      <c r="W120" s="174"/>
      <c r="X120" s="174"/>
      <c r="Y120" s="174"/>
      <c r="Z120" s="174"/>
      <c r="AA120" s="174"/>
      <c r="AB120" s="174"/>
      <c r="AC120" s="174"/>
      <c r="AD120" s="174"/>
      <c r="AE120" s="174"/>
      <c r="AF120" s="174"/>
    </row>
    <row r="121" spans="1:32" ht="15" customHeight="1" x14ac:dyDescent="0.25">
      <c r="A121" s="174"/>
      <c r="B121" s="174"/>
      <c r="C121" s="174"/>
      <c r="D121" s="174"/>
      <c r="E121" s="174"/>
      <c r="F121" s="174"/>
      <c r="G121" s="174"/>
      <c r="H121" s="174"/>
      <c r="I121" s="174"/>
      <c r="J121" s="174"/>
      <c r="K121" s="174"/>
      <c r="L121" s="174"/>
      <c r="M121" s="174"/>
      <c r="N121" s="174"/>
      <c r="O121" s="174"/>
      <c r="P121" s="174"/>
      <c r="Q121" s="174"/>
      <c r="R121" s="174"/>
      <c r="S121" s="174"/>
      <c r="T121" s="174"/>
      <c r="U121" s="174"/>
      <c r="V121" s="174"/>
      <c r="W121" s="174"/>
      <c r="X121" s="174"/>
      <c r="Y121" s="174"/>
      <c r="Z121" s="174"/>
      <c r="AA121" s="174"/>
      <c r="AB121" s="174"/>
      <c r="AC121" s="174"/>
      <c r="AD121" s="174"/>
      <c r="AE121" s="174"/>
      <c r="AF121" s="174"/>
    </row>
    <row r="122" spans="1:32" ht="15" customHeight="1" x14ac:dyDescent="0.25">
      <c r="A122" s="174"/>
      <c r="B122" s="174"/>
      <c r="C122" s="174"/>
      <c r="D122" s="174"/>
      <c r="E122" s="174"/>
      <c r="F122" s="174"/>
      <c r="G122" s="174"/>
      <c r="H122" s="174"/>
      <c r="I122" s="174"/>
      <c r="J122" s="174"/>
      <c r="K122" s="174"/>
      <c r="L122" s="174"/>
      <c r="M122" s="174"/>
      <c r="N122" s="174"/>
      <c r="O122" s="174"/>
      <c r="P122" s="174"/>
      <c r="Q122" s="174"/>
      <c r="R122" s="174"/>
      <c r="S122" s="174"/>
      <c r="T122" s="174"/>
      <c r="U122" s="174"/>
      <c r="V122" s="174"/>
      <c r="W122" s="174"/>
      <c r="X122" s="174"/>
      <c r="Y122" s="174"/>
      <c r="Z122" s="174"/>
      <c r="AA122" s="174"/>
      <c r="AB122" s="174"/>
      <c r="AC122" s="174"/>
      <c r="AD122" s="174"/>
      <c r="AE122" s="174"/>
      <c r="AF122" s="174"/>
    </row>
    <row r="123" spans="1:32" ht="15" customHeight="1" x14ac:dyDescent="0.25">
      <c r="A123" s="174"/>
      <c r="B123" s="174"/>
      <c r="C123" s="174"/>
      <c r="D123" s="174"/>
      <c r="E123" s="174"/>
      <c r="F123" s="174"/>
      <c r="G123" s="174"/>
      <c r="H123" s="174"/>
      <c r="I123" s="174"/>
      <c r="J123" s="174"/>
      <c r="K123" s="174"/>
      <c r="L123" s="174"/>
      <c r="M123" s="174"/>
      <c r="N123" s="174"/>
      <c r="O123" s="174"/>
      <c r="P123" s="174"/>
      <c r="Q123" s="174"/>
      <c r="R123" s="174"/>
      <c r="S123" s="174"/>
      <c r="T123" s="174"/>
      <c r="U123" s="174"/>
      <c r="V123" s="174"/>
      <c r="W123" s="174"/>
      <c r="X123" s="174"/>
      <c r="Y123" s="174"/>
      <c r="Z123" s="174"/>
      <c r="AA123" s="174"/>
      <c r="AB123" s="174"/>
      <c r="AC123" s="174"/>
      <c r="AD123" s="174"/>
      <c r="AE123" s="174"/>
      <c r="AF123" s="174"/>
    </row>
    <row r="124" spans="1:32" ht="15" customHeight="1" x14ac:dyDescent="0.25">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row>
  </sheetData>
  <sheetProtection algorithmName="SHA-512" hashValue="fsDMH2OYDCgwjfJWdplIjuaEbtiMDrRVkj8yVgQX3uuiUvIuUNSK6s5PIsKaXvwWRsTtdUi4XnMlhbvHXRmIVw==" saltValue="RiZgBu3OFU3ynnnjoHISeg==" spinCount="100000" sheet="1" objects="1" scenarios="1"/>
  <mergeCells count="9">
    <mergeCell ref="A112:AF123"/>
    <mergeCell ref="A37:AF41"/>
    <mergeCell ref="A44:AF82"/>
    <mergeCell ref="A85:AF102"/>
    <mergeCell ref="A3:AF5"/>
    <mergeCell ref="A8:AF12"/>
    <mergeCell ref="A23:AF34"/>
    <mergeCell ref="A105:AF109"/>
    <mergeCell ref="A15:AF20"/>
  </mergeCells>
  <pageMargins left="0.70866141732283472" right="0.70866141732283472" top="0.78740157480314965" bottom="0.78740157480314965" header="0.31496062992125984" footer="0.31496062992125984"/>
  <pageSetup paperSize="9" orientation="portrait" horizontalDpi="90" verticalDpi="90" r:id="rId1"/>
  <headerFooter>
    <oddHeader>&amp;L&amp;G&amp;R&amp;8Berechnungstool zur Strassenentwässerung des ANU und TBA 
Zentrale Schlammsammler</oddHeader>
    <oddFooter>&amp;R&amp;8Version: 28. Juni 2022
Autor: M. Uldack, ANU GR</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Q50"/>
  <sheetViews>
    <sheetView view="pageLayout" topLeftCell="A8" zoomScaleNormal="100" zoomScaleSheetLayoutView="115" workbookViewId="0">
      <selection activeCell="H5" sqref="H5:J5"/>
    </sheetView>
  </sheetViews>
  <sheetFormatPr baseColWidth="10" defaultColWidth="0" defaultRowHeight="15" zeroHeight="1" x14ac:dyDescent="0.25"/>
  <cols>
    <col min="1" max="30" width="2.5" style="51" customWidth="1"/>
    <col min="31" max="43" width="0" style="51" hidden="1" customWidth="1"/>
    <col min="44" max="16384" width="11" style="51" hidden="1"/>
  </cols>
  <sheetData>
    <row r="1" spans="1:43" x14ac:dyDescent="0.25">
      <c r="A1" s="98" t="s">
        <v>258</v>
      </c>
    </row>
    <row r="2" spans="1:43" x14ac:dyDescent="0.25"/>
    <row r="3" spans="1:43" x14ac:dyDescent="0.25">
      <c r="A3" s="51" t="str">
        <f>Berechnungstool!$A$58</f>
        <v>Durchmesser</v>
      </c>
      <c r="H3" s="177" t="str">
        <f>IF(Berechnungstool!$I$58="",".....",Berechnungstool!$I$58)</f>
        <v>.....</v>
      </c>
      <c r="I3" s="177"/>
      <c r="J3" s="177"/>
      <c r="K3" s="51" t="s">
        <v>22</v>
      </c>
      <c r="N3" s="51" t="str">
        <f>Berechnungstool!$R$6</f>
        <v>Reduzierte Fläche Total</v>
      </c>
      <c r="V3" s="178" t="str">
        <f>Berechnungstool!$Z$6</f>
        <v>.....</v>
      </c>
      <c r="W3" s="178"/>
      <c r="X3" s="178"/>
      <c r="Y3" s="51" t="s">
        <v>26</v>
      </c>
      <c r="AQ3" s="94"/>
    </row>
    <row r="4" spans="1:43" x14ac:dyDescent="0.25">
      <c r="A4" s="51" t="str">
        <f>Berechnungstool!$R$57</f>
        <v>Höhe Abscheideraum</v>
      </c>
      <c r="H4" s="177" t="str">
        <f>IF(Berechnungstool!$Z$57&lt;1,Berechnungstool!$Z$57*100,Berechnungstool!$Z$57)</f>
        <v>.....</v>
      </c>
      <c r="I4" s="177"/>
      <c r="J4" s="177"/>
      <c r="K4" s="51" t="str">
        <f>IF(Berechnungstool!$Z$59&lt;1,"cm","m")</f>
        <v>m</v>
      </c>
      <c r="N4" s="51" t="str">
        <f>Berechnungstool!$R$11</f>
        <v>Zufluss Total</v>
      </c>
      <c r="V4" s="177" t="str">
        <f>Berechnungstool!$Z$11</f>
        <v>.....</v>
      </c>
      <c r="W4" s="177"/>
      <c r="X4" s="177"/>
      <c r="Y4" s="51" t="s">
        <v>44</v>
      </c>
      <c r="AQ4" s="94"/>
    </row>
    <row r="5" spans="1:43" x14ac:dyDescent="0.25">
      <c r="A5" s="51" t="str">
        <f>Berechnungstool!$R$58</f>
        <v>Schlammraumtiefe</v>
      </c>
      <c r="F5" s="104"/>
      <c r="G5" s="104"/>
      <c r="H5" s="179">
        <f>Berechnungstool!$Z$58*100</f>
        <v>50</v>
      </c>
      <c r="I5" s="179"/>
      <c r="J5" s="179"/>
      <c r="K5" s="51" t="s">
        <v>139</v>
      </c>
      <c r="AQ5" s="94"/>
    </row>
    <row r="6" spans="1:43" x14ac:dyDescent="0.25">
      <c r="A6" s="51" t="str">
        <f>Berechnungstool!$R$59</f>
        <v>Nutztiefe</v>
      </c>
      <c r="H6" s="177" t="str">
        <f>IF(Berechnungstool!$Z$59&lt;1,Berechnungstool!$Z$59*100,Berechnungstool!$Z$59)</f>
        <v>.....</v>
      </c>
      <c r="I6" s="177"/>
      <c r="J6" s="177"/>
      <c r="K6" s="51" t="str">
        <f>IF(Berechnungstool!$Z$59&lt;1,"cm","m")</f>
        <v>m</v>
      </c>
      <c r="P6" s="29"/>
      <c r="AQ6" s="94"/>
    </row>
    <row r="7" spans="1:43" x14ac:dyDescent="0.25">
      <c r="F7" s="104"/>
      <c r="G7" s="104"/>
      <c r="AQ7" s="94"/>
    </row>
    <row r="8" spans="1:43" x14ac:dyDescent="0.25"/>
    <row r="9" spans="1:43" x14ac:dyDescent="0.25"/>
    <row r="10" spans="1:43" x14ac:dyDescent="0.25"/>
    <row r="11" spans="1:43" x14ac:dyDescent="0.25"/>
    <row r="12" spans="1:43" x14ac:dyDescent="0.25"/>
    <row r="13" spans="1:43" x14ac:dyDescent="0.25"/>
    <row r="14" spans="1:43" x14ac:dyDescent="0.25"/>
    <row r="15" spans="1:43" x14ac:dyDescent="0.25"/>
    <row r="16" spans="1:43"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sheetData>
  <sheetProtection algorithmName="SHA-512" hashValue="+LPpuI4mFl1+6IGzoA4pIIkvot2yjyOjOmXMl4ccY2HIhXCQ4cm7mn4szXWhJ68t29ze66KnYlvqb1NYI9JT+g==" saltValue="i6InswRqPltPEkSEU2ywSA==" spinCount="100000" sheet="1" objects="1" scenarios="1"/>
  <mergeCells count="6">
    <mergeCell ref="H3:J3"/>
    <mergeCell ref="H6:J6"/>
    <mergeCell ref="V3:X3"/>
    <mergeCell ref="V4:X4"/>
    <mergeCell ref="H4:J4"/>
    <mergeCell ref="H5:J5"/>
  </mergeCells>
  <conditionalFormatting sqref="H4:J6">
    <cfRule type="expression" dxfId="20" priority="1">
      <formula>$K$6="cm"</formula>
    </cfRule>
  </conditionalFormatting>
  <pageMargins left="0.7" right="0.7" top="0.78740157499999996" bottom="0.78740157499999996" header="0.3" footer="0.3"/>
  <pageSetup paperSize="9" orientation="portrait" horizontalDpi="90" verticalDpi="90"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V19"/>
  <sheetViews>
    <sheetView view="pageLayout" topLeftCell="A7" zoomScaleNormal="100" workbookViewId="0">
      <selection activeCell="K10" sqref="K10:AL10"/>
    </sheetView>
  </sheetViews>
  <sheetFormatPr baseColWidth="10" defaultColWidth="0" defaultRowHeight="15" customHeight="1" zeroHeight="1" x14ac:dyDescent="0.25"/>
  <cols>
    <col min="1" max="2" width="2.375" style="1" customWidth="1"/>
    <col min="3" max="3" width="2.375" style="23" customWidth="1"/>
    <col min="4" max="10" width="2.375" style="1" customWidth="1"/>
    <col min="11" max="11" width="2.375" style="23" customWidth="1"/>
    <col min="12" max="48" width="2.375" style="1" customWidth="1"/>
    <col min="49" max="16384" width="11" style="1" hidden="1"/>
  </cols>
  <sheetData>
    <row r="1" spans="1:48" ht="15" customHeight="1" x14ac:dyDescent="0.25">
      <c r="A1" s="249" t="s">
        <v>149</v>
      </c>
      <c r="B1" s="249"/>
      <c r="C1" s="236" t="s">
        <v>156</v>
      </c>
      <c r="D1" s="236"/>
      <c r="E1" s="236"/>
      <c r="F1" s="236"/>
      <c r="G1" s="236"/>
      <c r="H1" s="236"/>
      <c r="I1" s="236"/>
      <c r="J1" s="236"/>
      <c r="K1" s="236" t="s">
        <v>151</v>
      </c>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236"/>
      <c r="AM1" s="68" t="s">
        <v>153</v>
      </c>
      <c r="AN1" s="83"/>
      <c r="AO1" s="83"/>
      <c r="AP1" s="83"/>
      <c r="AQ1" s="83"/>
      <c r="AR1" s="83"/>
      <c r="AS1" s="83"/>
      <c r="AT1" s="83"/>
      <c r="AU1" s="68"/>
      <c r="AV1" s="68"/>
    </row>
    <row r="2" spans="1:48" ht="15" customHeight="1" x14ac:dyDescent="0.25">
      <c r="A2" s="207">
        <v>1</v>
      </c>
      <c r="B2" s="207"/>
      <c r="C2" s="200" t="s">
        <v>150</v>
      </c>
      <c r="D2" s="200"/>
      <c r="E2" s="200"/>
      <c r="F2" s="200"/>
      <c r="G2" s="200"/>
      <c r="H2" s="200"/>
      <c r="I2" s="200"/>
      <c r="J2" s="200"/>
      <c r="K2" s="209" t="s">
        <v>163</v>
      </c>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16" t="s">
        <v>154</v>
      </c>
      <c r="AN2" s="216"/>
      <c r="AO2" s="216"/>
      <c r="AP2" s="216"/>
      <c r="AQ2" s="216"/>
      <c r="AR2" s="216"/>
      <c r="AS2" s="216"/>
      <c r="AT2" s="216"/>
      <c r="AU2" s="207"/>
      <c r="AV2" s="207"/>
    </row>
    <row r="3" spans="1:48" s="46" customFormat="1" ht="15" customHeight="1" x14ac:dyDescent="0.2">
      <c r="A3" s="207">
        <v>2</v>
      </c>
      <c r="B3" s="207"/>
      <c r="C3" s="200" t="s">
        <v>28</v>
      </c>
      <c r="D3" s="200"/>
      <c r="E3" s="200"/>
      <c r="F3" s="200"/>
      <c r="G3" s="200"/>
      <c r="H3" s="200"/>
      <c r="I3" s="200"/>
      <c r="J3" s="200"/>
      <c r="K3" s="201" t="s">
        <v>161</v>
      </c>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18" t="s">
        <v>155</v>
      </c>
      <c r="AN3" s="219"/>
      <c r="AO3" s="219"/>
      <c r="AP3" s="219"/>
      <c r="AQ3" s="219"/>
      <c r="AR3" s="219"/>
      <c r="AS3" s="219"/>
      <c r="AT3" s="220"/>
      <c r="AU3" s="227">
        <v>1</v>
      </c>
      <c r="AV3" s="228"/>
    </row>
    <row r="4" spans="1:48" ht="30" customHeight="1" x14ac:dyDescent="0.25">
      <c r="A4" s="207">
        <v>3</v>
      </c>
      <c r="B4" s="207"/>
      <c r="C4" s="200" t="s">
        <v>9</v>
      </c>
      <c r="D4" s="200"/>
      <c r="E4" s="200"/>
      <c r="F4" s="200"/>
      <c r="G4" s="200"/>
      <c r="H4" s="200"/>
      <c r="I4" s="200"/>
      <c r="J4" s="200"/>
      <c r="K4" s="201" t="s">
        <v>167</v>
      </c>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1"/>
      <c r="AL4" s="201"/>
      <c r="AM4" s="221"/>
      <c r="AN4" s="222"/>
      <c r="AO4" s="222"/>
      <c r="AP4" s="222"/>
      <c r="AQ4" s="222"/>
      <c r="AR4" s="222"/>
      <c r="AS4" s="222"/>
      <c r="AT4" s="223"/>
      <c r="AU4" s="229"/>
      <c r="AV4" s="230"/>
    </row>
    <row r="5" spans="1:48" ht="15" customHeight="1" x14ac:dyDescent="0.25">
      <c r="A5" s="207">
        <v>4</v>
      </c>
      <c r="B5" s="207"/>
      <c r="C5" s="200" t="s">
        <v>18</v>
      </c>
      <c r="D5" s="200"/>
      <c r="E5" s="200"/>
      <c r="F5" s="200"/>
      <c r="G5" s="200"/>
      <c r="H5" s="200"/>
      <c r="I5" s="200"/>
      <c r="J5" s="200"/>
      <c r="K5" s="201" t="s">
        <v>162</v>
      </c>
      <c r="L5" s="201"/>
      <c r="M5" s="201"/>
      <c r="N5" s="201"/>
      <c r="O5" s="201"/>
      <c r="P5" s="201"/>
      <c r="Q5" s="201"/>
      <c r="R5" s="201"/>
      <c r="S5" s="201"/>
      <c r="T5" s="201"/>
      <c r="U5" s="201"/>
      <c r="V5" s="201"/>
      <c r="W5" s="201"/>
      <c r="X5" s="201"/>
      <c r="Y5" s="201"/>
      <c r="Z5" s="201"/>
      <c r="AA5" s="201"/>
      <c r="AB5" s="201"/>
      <c r="AC5" s="201"/>
      <c r="AD5" s="201"/>
      <c r="AE5" s="201"/>
      <c r="AF5" s="201"/>
      <c r="AG5" s="201"/>
      <c r="AH5" s="201"/>
      <c r="AI5" s="201"/>
      <c r="AJ5" s="201"/>
      <c r="AK5" s="201"/>
      <c r="AL5" s="201"/>
      <c r="AM5" s="221"/>
      <c r="AN5" s="222"/>
      <c r="AO5" s="222"/>
      <c r="AP5" s="222"/>
      <c r="AQ5" s="222"/>
      <c r="AR5" s="222"/>
      <c r="AS5" s="222"/>
      <c r="AT5" s="223"/>
      <c r="AU5" s="229"/>
      <c r="AV5" s="230"/>
    </row>
    <row r="6" spans="1:48" ht="30" customHeight="1" x14ac:dyDescent="0.25">
      <c r="A6" s="207">
        <v>5</v>
      </c>
      <c r="B6" s="207"/>
      <c r="C6" s="238" t="s">
        <v>261</v>
      </c>
      <c r="D6" s="239"/>
      <c r="E6" s="239"/>
      <c r="F6" s="239"/>
      <c r="G6" s="239"/>
      <c r="H6" s="239"/>
      <c r="I6" s="239"/>
      <c r="J6" s="240"/>
      <c r="K6" s="233" t="s">
        <v>282</v>
      </c>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234"/>
      <c r="AL6" s="235"/>
      <c r="AM6" s="224"/>
      <c r="AN6" s="225"/>
      <c r="AO6" s="225"/>
      <c r="AP6" s="225"/>
      <c r="AQ6" s="225"/>
      <c r="AR6" s="225"/>
      <c r="AS6" s="225"/>
      <c r="AT6" s="226"/>
      <c r="AU6" s="231"/>
      <c r="AV6" s="232"/>
    </row>
    <row r="7" spans="1:48" ht="30" customHeight="1" x14ac:dyDescent="0.25">
      <c r="A7" s="207">
        <v>6</v>
      </c>
      <c r="B7" s="207"/>
      <c r="C7" s="200" t="s">
        <v>72</v>
      </c>
      <c r="D7" s="200"/>
      <c r="E7" s="200"/>
      <c r="F7" s="200"/>
      <c r="G7" s="200"/>
      <c r="H7" s="200"/>
      <c r="I7" s="200"/>
      <c r="J7" s="200"/>
      <c r="K7" s="201" t="s">
        <v>168</v>
      </c>
      <c r="L7" s="201"/>
      <c r="M7" s="201"/>
      <c r="N7" s="201"/>
      <c r="O7" s="201"/>
      <c r="P7" s="201"/>
      <c r="Q7" s="201"/>
      <c r="R7" s="201"/>
      <c r="S7" s="201"/>
      <c r="T7" s="201"/>
      <c r="U7" s="201"/>
      <c r="V7" s="201"/>
      <c r="W7" s="201"/>
      <c r="X7" s="201"/>
      <c r="Y7" s="201"/>
      <c r="Z7" s="201"/>
      <c r="AA7" s="201"/>
      <c r="AB7" s="201"/>
      <c r="AC7" s="201"/>
      <c r="AD7" s="201"/>
      <c r="AE7" s="201"/>
      <c r="AF7" s="201"/>
      <c r="AG7" s="201"/>
      <c r="AH7" s="201"/>
      <c r="AI7" s="201"/>
      <c r="AJ7" s="201"/>
      <c r="AK7" s="201"/>
      <c r="AL7" s="201"/>
      <c r="AM7" s="217" t="s">
        <v>19</v>
      </c>
      <c r="AN7" s="217"/>
      <c r="AO7" s="217"/>
      <c r="AP7" s="217"/>
      <c r="AQ7" s="217"/>
      <c r="AR7" s="217"/>
      <c r="AS7" s="217"/>
      <c r="AT7" s="217"/>
      <c r="AU7" s="208">
        <v>2</v>
      </c>
      <c r="AV7" s="208"/>
    </row>
    <row r="8" spans="1:48" ht="60" customHeight="1" x14ac:dyDescent="0.25">
      <c r="A8" s="207">
        <v>7</v>
      </c>
      <c r="B8" s="207"/>
      <c r="C8" s="200" t="s">
        <v>152</v>
      </c>
      <c r="D8" s="200"/>
      <c r="E8" s="200"/>
      <c r="F8" s="200"/>
      <c r="G8" s="200"/>
      <c r="H8" s="200"/>
      <c r="I8" s="200"/>
      <c r="J8" s="200"/>
      <c r="K8" s="201" t="s">
        <v>164</v>
      </c>
      <c r="L8" s="201"/>
      <c r="M8" s="201"/>
      <c r="N8" s="201"/>
      <c r="O8" s="201"/>
      <c r="P8" s="201"/>
      <c r="Q8" s="201"/>
      <c r="R8" s="201"/>
      <c r="S8" s="201"/>
      <c r="T8" s="201"/>
      <c r="U8" s="201"/>
      <c r="V8" s="201"/>
      <c r="W8" s="201"/>
      <c r="X8" s="201"/>
      <c r="Y8" s="201"/>
      <c r="Z8" s="201"/>
      <c r="AA8" s="201"/>
      <c r="AB8" s="201"/>
      <c r="AC8" s="201"/>
      <c r="AD8" s="201"/>
      <c r="AE8" s="201"/>
      <c r="AF8" s="201"/>
      <c r="AG8" s="201"/>
      <c r="AH8" s="201"/>
      <c r="AI8" s="201"/>
      <c r="AJ8" s="201"/>
      <c r="AK8" s="201"/>
      <c r="AL8" s="201"/>
      <c r="AM8" s="210" t="s">
        <v>288</v>
      </c>
      <c r="AN8" s="211"/>
      <c r="AO8" s="211"/>
      <c r="AP8" s="211"/>
      <c r="AQ8" s="211"/>
      <c r="AR8" s="211"/>
      <c r="AS8" s="211"/>
      <c r="AT8" s="212"/>
      <c r="AU8" s="196">
        <v>3</v>
      </c>
      <c r="AV8" s="197"/>
    </row>
    <row r="9" spans="1:48" x14ac:dyDescent="0.25">
      <c r="A9" s="207">
        <v>8</v>
      </c>
      <c r="B9" s="207"/>
      <c r="C9" s="200" t="s">
        <v>244</v>
      </c>
      <c r="D9" s="200"/>
      <c r="E9" s="200"/>
      <c r="F9" s="200"/>
      <c r="G9" s="200"/>
      <c r="H9" s="200"/>
      <c r="I9" s="200"/>
      <c r="J9" s="200"/>
      <c r="K9" s="201" t="s">
        <v>283</v>
      </c>
      <c r="L9" s="201"/>
      <c r="M9" s="201"/>
      <c r="N9" s="201"/>
      <c r="O9" s="201"/>
      <c r="P9" s="201"/>
      <c r="Q9" s="201"/>
      <c r="R9" s="201"/>
      <c r="S9" s="201"/>
      <c r="T9" s="201"/>
      <c r="U9" s="201"/>
      <c r="V9" s="201"/>
      <c r="W9" s="201"/>
      <c r="X9" s="201"/>
      <c r="Y9" s="201"/>
      <c r="Z9" s="201"/>
      <c r="AA9" s="201"/>
      <c r="AB9" s="201"/>
      <c r="AC9" s="201"/>
      <c r="AD9" s="201"/>
      <c r="AE9" s="201"/>
      <c r="AF9" s="201"/>
      <c r="AG9" s="201"/>
      <c r="AH9" s="201"/>
      <c r="AI9" s="201"/>
      <c r="AJ9" s="201"/>
      <c r="AK9" s="201"/>
      <c r="AL9" s="201"/>
      <c r="AM9" s="213"/>
      <c r="AN9" s="214"/>
      <c r="AO9" s="214"/>
      <c r="AP9" s="214"/>
      <c r="AQ9" s="214"/>
      <c r="AR9" s="214"/>
      <c r="AS9" s="214"/>
      <c r="AT9" s="215"/>
      <c r="AU9" s="198"/>
      <c r="AV9" s="199"/>
    </row>
    <row r="10" spans="1:48" ht="45.75" customHeight="1" x14ac:dyDescent="0.25">
      <c r="A10" s="207">
        <v>9</v>
      </c>
      <c r="B10" s="207"/>
      <c r="C10" s="200" t="s">
        <v>243</v>
      </c>
      <c r="D10" s="200"/>
      <c r="E10" s="200"/>
      <c r="F10" s="200"/>
      <c r="G10" s="200"/>
      <c r="H10" s="200"/>
      <c r="I10" s="200"/>
      <c r="J10" s="200"/>
      <c r="K10" s="201" t="s">
        <v>284</v>
      </c>
      <c r="L10" s="201"/>
      <c r="M10" s="201"/>
      <c r="N10" s="201"/>
      <c r="O10" s="201"/>
      <c r="P10" s="201"/>
      <c r="Q10" s="201"/>
      <c r="R10" s="201"/>
      <c r="S10" s="201"/>
      <c r="T10" s="201"/>
      <c r="U10" s="201"/>
      <c r="V10" s="201"/>
      <c r="W10" s="201"/>
      <c r="X10" s="201"/>
      <c r="Y10" s="201"/>
      <c r="Z10" s="201"/>
      <c r="AA10" s="201"/>
      <c r="AB10" s="201"/>
      <c r="AC10" s="201"/>
      <c r="AD10" s="201"/>
      <c r="AE10" s="201"/>
      <c r="AF10" s="201"/>
      <c r="AG10" s="201"/>
      <c r="AH10" s="201"/>
      <c r="AI10" s="201"/>
      <c r="AJ10" s="201"/>
      <c r="AK10" s="201"/>
      <c r="AL10" s="201"/>
      <c r="AM10" s="180" t="s">
        <v>287</v>
      </c>
      <c r="AN10" s="181"/>
      <c r="AO10" s="181"/>
      <c r="AP10" s="181"/>
      <c r="AQ10" s="181"/>
      <c r="AR10" s="181"/>
      <c r="AS10" s="181"/>
      <c r="AT10" s="182"/>
      <c r="AU10" s="189">
        <v>3</v>
      </c>
      <c r="AV10" s="190"/>
    </row>
    <row r="11" spans="1:48" ht="30" customHeight="1" x14ac:dyDescent="0.25">
      <c r="A11" s="207">
        <v>10</v>
      </c>
      <c r="B11" s="207"/>
      <c r="C11" s="206" t="s">
        <v>211</v>
      </c>
      <c r="D11" s="206"/>
      <c r="E11" s="206"/>
      <c r="F11" s="206"/>
      <c r="G11" s="206"/>
      <c r="H11" s="206"/>
      <c r="I11" s="206"/>
      <c r="J11" s="206"/>
      <c r="K11" s="201" t="s">
        <v>285</v>
      </c>
      <c r="L11" s="201"/>
      <c r="M11" s="201"/>
      <c r="N11" s="201"/>
      <c r="O11" s="201"/>
      <c r="P11" s="201"/>
      <c r="Q11" s="201"/>
      <c r="R11" s="201"/>
      <c r="S11" s="201"/>
      <c r="T11" s="201"/>
      <c r="U11" s="201"/>
      <c r="V11" s="201"/>
      <c r="W11" s="201"/>
      <c r="X11" s="201"/>
      <c r="Y11" s="201"/>
      <c r="Z11" s="201"/>
      <c r="AA11" s="201"/>
      <c r="AB11" s="201"/>
      <c r="AC11" s="201"/>
      <c r="AD11" s="201"/>
      <c r="AE11" s="201"/>
      <c r="AF11" s="201"/>
      <c r="AG11" s="201"/>
      <c r="AH11" s="201"/>
      <c r="AI11" s="201"/>
      <c r="AJ11" s="201"/>
      <c r="AK11" s="201"/>
      <c r="AL11" s="201"/>
      <c r="AM11" s="183"/>
      <c r="AN11" s="184"/>
      <c r="AO11" s="184"/>
      <c r="AP11" s="184"/>
      <c r="AQ11" s="184"/>
      <c r="AR11" s="184"/>
      <c r="AS11" s="184"/>
      <c r="AT11" s="185"/>
      <c r="AU11" s="191"/>
      <c r="AV11" s="192"/>
    </row>
    <row r="12" spans="1:48" ht="30" customHeight="1" x14ac:dyDescent="0.25">
      <c r="A12" s="241">
        <v>11</v>
      </c>
      <c r="B12" s="241"/>
      <c r="C12" s="206" t="s">
        <v>245</v>
      </c>
      <c r="D12" s="206"/>
      <c r="E12" s="206"/>
      <c r="F12" s="206"/>
      <c r="G12" s="206"/>
      <c r="H12" s="206"/>
      <c r="I12" s="206"/>
      <c r="J12" s="206"/>
      <c r="K12" s="201" t="s">
        <v>286</v>
      </c>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1"/>
      <c r="AK12" s="201"/>
      <c r="AL12" s="201"/>
      <c r="AM12" s="186"/>
      <c r="AN12" s="187"/>
      <c r="AO12" s="187"/>
      <c r="AP12" s="187"/>
      <c r="AQ12" s="187"/>
      <c r="AR12" s="187"/>
      <c r="AS12" s="187"/>
      <c r="AT12" s="188"/>
      <c r="AU12" s="193"/>
      <c r="AV12" s="194"/>
    </row>
    <row r="13" spans="1:48" ht="45" customHeight="1" x14ac:dyDescent="0.25">
      <c r="A13" s="207">
        <v>12</v>
      </c>
      <c r="B13" s="207"/>
      <c r="C13" s="200" t="s">
        <v>157</v>
      </c>
      <c r="D13" s="200"/>
      <c r="E13" s="200"/>
      <c r="F13" s="200"/>
      <c r="G13" s="200"/>
      <c r="H13" s="200"/>
      <c r="I13" s="200"/>
      <c r="J13" s="200"/>
      <c r="K13" s="201" t="s">
        <v>165</v>
      </c>
      <c r="L13" s="201"/>
      <c r="M13" s="201"/>
      <c r="N13" s="201"/>
      <c r="O13" s="201"/>
      <c r="P13" s="201"/>
      <c r="Q13" s="201"/>
      <c r="R13" s="201"/>
      <c r="S13" s="201"/>
      <c r="T13" s="201"/>
      <c r="U13" s="201"/>
      <c r="V13" s="201"/>
      <c r="W13" s="201"/>
      <c r="X13" s="201"/>
      <c r="Y13" s="201"/>
      <c r="Z13" s="201"/>
      <c r="AA13" s="201"/>
      <c r="AB13" s="201"/>
      <c r="AC13" s="201"/>
      <c r="AD13" s="201"/>
      <c r="AE13" s="201"/>
      <c r="AF13" s="201"/>
      <c r="AG13" s="201"/>
      <c r="AH13" s="201"/>
      <c r="AI13" s="201"/>
      <c r="AJ13" s="201"/>
      <c r="AK13" s="201"/>
      <c r="AL13" s="201"/>
      <c r="AM13" s="243" t="s">
        <v>160</v>
      </c>
      <c r="AN13" s="244"/>
      <c r="AO13" s="244"/>
      <c r="AP13" s="244"/>
      <c r="AQ13" s="244"/>
      <c r="AR13" s="244"/>
      <c r="AS13" s="244"/>
      <c r="AT13" s="245"/>
      <c r="AU13" s="202">
        <v>4</v>
      </c>
      <c r="AV13" s="203"/>
    </row>
    <row r="14" spans="1:48" ht="45" customHeight="1" x14ac:dyDescent="0.25">
      <c r="A14" s="207">
        <v>13</v>
      </c>
      <c r="B14" s="207"/>
      <c r="C14" s="200" t="s">
        <v>158</v>
      </c>
      <c r="D14" s="200"/>
      <c r="E14" s="200"/>
      <c r="F14" s="200"/>
      <c r="G14" s="200"/>
      <c r="H14" s="200"/>
      <c r="I14" s="200"/>
      <c r="J14" s="200"/>
      <c r="K14" s="201" t="s">
        <v>166</v>
      </c>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1"/>
      <c r="AM14" s="246"/>
      <c r="AN14" s="247"/>
      <c r="AO14" s="247"/>
      <c r="AP14" s="247"/>
      <c r="AQ14" s="247"/>
      <c r="AR14" s="247"/>
      <c r="AS14" s="247"/>
      <c r="AT14" s="248"/>
      <c r="AU14" s="204"/>
      <c r="AV14" s="205"/>
    </row>
    <row r="15" spans="1:48" ht="30" customHeight="1" x14ac:dyDescent="0.25">
      <c r="A15" s="207">
        <v>14</v>
      </c>
      <c r="B15" s="207"/>
      <c r="C15" s="200" t="s">
        <v>97</v>
      </c>
      <c r="D15" s="200"/>
      <c r="E15" s="200"/>
      <c r="F15" s="200"/>
      <c r="G15" s="200"/>
      <c r="H15" s="200"/>
      <c r="I15" s="200"/>
      <c r="J15" s="200"/>
      <c r="K15" s="201" t="s">
        <v>169</v>
      </c>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1"/>
      <c r="AL15" s="201"/>
      <c r="AM15" s="242" t="s">
        <v>159</v>
      </c>
      <c r="AN15" s="242"/>
      <c r="AO15" s="242"/>
      <c r="AP15" s="242"/>
      <c r="AQ15" s="242"/>
      <c r="AR15" s="242"/>
      <c r="AS15" s="242"/>
      <c r="AT15" s="242"/>
      <c r="AU15" s="195">
        <v>6</v>
      </c>
      <c r="AV15" s="195"/>
    </row>
    <row r="16" spans="1:48" ht="15" customHeight="1" x14ac:dyDescent="0.25">
      <c r="A16" s="237"/>
      <c r="B16" s="237"/>
    </row>
    <row r="17" spans="1:2" ht="15" customHeight="1" x14ac:dyDescent="0.25">
      <c r="A17" s="237"/>
      <c r="B17" s="237"/>
    </row>
    <row r="18" spans="1:2" ht="15" customHeight="1" x14ac:dyDescent="0.25"/>
    <row r="19" spans="1:2" ht="15" customHeight="1" x14ac:dyDescent="0.25"/>
  </sheetData>
  <sheetProtection algorithmName="SHA-512" hashValue="Qhd8BnlAKPdDwjqRxLk5MIIfyRD6Wlt8Rv2VbuF8iPThRwDJCYnFpwgqbk4dSAgC4Qu2SrJEUlDg8X+rk+CZgQ==" saltValue="87CXZrR8BJRYg5BTJ5Prpw==" spinCount="100000" sheet="1" objects="1" scenarios="1"/>
  <mergeCells count="61">
    <mergeCell ref="K1:AL1"/>
    <mergeCell ref="AM15:AT15"/>
    <mergeCell ref="A14:B14"/>
    <mergeCell ref="A15:B15"/>
    <mergeCell ref="C13:J13"/>
    <mergeCell ref="C14:J14"/>
    <mergeCell ref="C15:J15"/>
    <mergeCell ref="AM13:AT14"/>
    <mergeCell ref="A7:B7"/>
    <mergeCell ref="A1:B1"/>
    <mergeCell ref="A2:B2"/>
    <mergeCell ref="A3:B3"/>
    <mergeCell ref="A4:B4"/>
    <mergeCell ref="A5:B5"/>
    <mergeCell ref="C12:J12"/>
    <mergeCell ref="C5:J5"/>
    <mergeCell ref="A17:B17"/>
    <mergeCell ref="A8:B8"/>
    <mergeCell ref="A9:B9"/>
    <mergeCell ref="A10:B10"/>
    <mergeCell ref="A11:B11"/>
    <mergeCell ref="A12:B12"/>
    <mergeCell ref="A13:B13"/>
    <mergeCell ref="C1:J1"/>
    <mergeCell ref="C2:J2"/>
    <mergeCell ref="C3:J3"/>
    <mergeCell ref="C4:J4"/>
    <mergeCell ref="A16:B16"/>
    <mergeCell ref="A6:B6"/>
    <mergeCell ref="C6:J6"/>
    <mergeCell ref="C7:J7"/>
    <mergeCell ref="AU2:AV2"/>
    <mergeCell ref="AU7:AV7"/>
    <mergeCell ref="K2:AL2"/>
    <mergeCell ref="AM8:AT9"/>
    <mergeCell ref="AM2:AT2"/>
    <mergeCell ref="AM7:AT7"/>
    <mergeCell ref="AM3:AT6"/>
    <mergeCell ref="AU3:AV6"/>
    <mergeCell ref="K3:AL3"/>
    <mergeCell ref="K4:AL4"/>
    <mergeCell ref="K5:AL5"/>
    <mergeCell ref="K7:AL7"/>
    <mergeCell ref="K8:AL8"/>
    <mergeCell ref="K6:AL6"/>
    <mergeCell ref="AM10:AT12"/>
    <mergeCell ref="AU10:AV12"/>
    <mergeCell ref="AU15:AV15"/>
    <mergeCell ref="AU8:AV9"/>
    <mergeCell ref="C10:J10"/>
    <mergeCell ref="K9:AL9"/>
    <mergeCell ref="K12:AL12"/>
    <mergeCell ref="K13:AL13"/>
    <mergeCell ref="K14:AL14"/>
    <mergeCell ref="K15:AL15"/>
    <mergeCell ref="AU13:AV14"/>
    <mergeCell ref="C9:J9"/>
    <mergeCell ref="C8:J8"/>
    <mergeCell ref="C11:J11"/>
    <mergeCell ref="K10:AL10"/>
    <mergeCell ref="K11:AL11"/>
  </mergeCells>
  <hyperlinks>
    <hyperlink ref="C2:J2" location="'1'!A1" display="Auswahltabellen"/>
    <hyperlink ref="C3:J3" location="'2'!A1" display="Regendauer"/>
    <hyperlink ref="C4:J4" location="'3'!A1" display="Regenintensität"/>
    <hyperlink ref="C5:J5" location="'4'!A1" display="Sickerwasser"/>
    <hyperlink ref="C7:J7" location="'6'!A1" display="Belastungspunkte"/>
    <hyperlink ref="C8:J8" location="'7'!A1" display="Zulässigkeit Versickerung"/>
    <hyperlink ref="C13:J13" location="'12'!A1" display="Korrekturfaktoren Gewässer"/>
    <hyperlink ref="C14:J14" location="'13'!A1" display="Zulässigkeit Einleitung"/>
    <hyperlink ref="C15:J15" location="'14'!A1" display="Retention"/>
    <hyperlink ref="C9:J9" location="'8'!A1" display="Belastungsstreifen"/>
    <hyperlink ref="C11:J11" location="'10'!A1" display="Sickerleistung Oberboden"/>
    <hyperlink ref="C12:J12" location="'11'!A1" display="Beckenvolumen zentrale Versickerung"/>
    <hyperlink ref="C6:J6" location="'5'!A1" display="Korrektur Leitungsgefälle"/>
    <hyperlink ref="C10:J10" location="'9'!A1" display="Machbarkeit zentrale Versickerung"/>
  </hyperlinks>
  <pageMargins left="0.7" right="0.7" top="0.78740157499999996" bottom="0.78740157499999996" header="0.3" footer="0.3"/>
  <pageSetup paperSize="9" orientation="landscape" horizontalDpi="90" verticalDpi="90" r:id="rId1"/>
  <headerFooter>
    <oddHeader>&amp;L&amp;"-,Standard"INDEX</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theme="0"/>
  </sheetPr>
  <dimension ref="A1:AF50"/>
  <sheetViews>
    <sheetView view="pageLayout" zoomScaleNormal="100" workbookViewId="0">
      <selection activeCell="AA1" sqref="AA1:AF1"/>
    </sheetView>
  </sheetViews>
  <sheetFormatPr baseColWidth="10" defaultColWidth="0" defaultRowHeight="0" customHeight="1" zeroHeight="1" x14ac:dyDescent="0.25"/>
  <cols>
    <col min="1" max="32" width="2.375" style="1" customWidth="1"/>
    <col min="33" max="16384" width="11" style="1" hidden="1"/>
  </cols>
  <sheetData>
    <row r="1" spans="1:32" ht="15" customHeight="1" x14ac:dyDescent="0.25">
      <c r="A1" s="283"/>
      <c r="B1" s="283"/>
      <c r="C1" s="283"/>
      <c r="D1" s="283"/>
      <c r="E1" s="283"/>
      <c r="F1" s="283"/>
      <c r="G1" s="2"/>
      <c r="H1" s="2"/>
      <c r="I1" s="2"/>
      <c r="J1" s="2"/>
      <c r="K1" s="2"/>
      <c r="L1" s="2"/>
      <c r="M1" s="2"/>
      <c r="N1" s="282" t="s">
        <v>170</v>
      </c>
      <c r="O1" s="282"/>
      <c r="P1" s="282"/>
      <c r="Q1" s="282"/>
      <c r="R1" s="282"/>
      <c r="S1" s="282"/>
      <c r="T1" s="2"/>
      <c r="U1" s="2"/>
      <c r="V1" s="2"/>
      <c r="W1" s="2"/>
      <c r="X1" s="2"/>
      <c r="Y1" s="2"/>
      <c r="Z1" s="2"/>
      <c r="AA1" s="282" t="s">
        <v>171</v>
      </c>
      <c r="AB1" s="282"/>
      <c r="AC1" s="282"/>
      <c r="AD1" s="282"/>
      <c r="AE1" s="282"/>
      <c r="AF1" s="282"/>
    </row>
    <row r="2" spans="1:32" ht="15" customHeight="1" x14ac:dyDescent="0.25"/>
    <row r="3" spans="1:32" ht="15" customHeight="1" x14ac:dyDescent="0.25">
      <c r="A3" s="264" t="s">
        <v>0</v>
      </c>
      <c r="B3" s="264"/>
      <c r="C3" s="264"/>
      <c r="D3" s="264"/>
      <c r="E3" s="264"/>
      <c r="G3" s="270" t="s">
        <v>4</v>
      </c>
      <c r="H3" s="270"/>
      <c r="I3" s="270"/>
      <c r="J3" s="270"/>
      <c r="K3" s="270"/>
      <c r="L3" s="270"/>
      <c r="M3" s="270"/>
      <c r="O3" s="255" t="s">
        <v>18</v>
      </c>
      <c r="P3" s="255"/>
      <c r="Q3" s="255"/>
      <c r="R3" s="255"/>
      <c r="S3" s="255"/>
      <c r="U3" s="255" t="s">
        <v>70</v>
      </c>
      <c r="V3" s="255"/>
      <c r="W3" s="255"/>
      <c r="Y3" s="250" t="s">
        <v>62</v>
      </c>
      <c r="Z3" s="251"/>
      <c r="AA3" s="251"/>
      <c r="AB3" s="251"/>
      <c r="AC3" s="251"/>
      <c r="AD3" s="251"/>
      <c r="AE3" s="251"/>
      <c r="AF3" s="252"/>
    </row>
    <row r="4" spans="1:32" ht="15" customHeight="1" x14ac:dyDescent="0.25">
      <c r="A4" s="265" t="s">
        <v>1</v>
      </c>
      <c r="B4" s="265"/>
      <c r="C4" s="265"/>
      <c r="D4" s="265"/>
      <c r="E4" s="265"/>
      <c r="G4" s="256">
        <v>0.5</v>
      </c>
      <c r="H4" s="257"/>
      <c r="I4" s="257"/>
      <c r="J4" s="258"/>
      <c r="K4" s="256">
        <v>1</v>
      </c>
      <c r="L4" s="257"/>
      <c r="M4" s="258"/>
      <c r="O4" s="280" t="s">
        <v>42</v>
      </c>
      <c r="P4" s="280"/>
      <c r="Q4" s="280"/>
      <c r="R4" s="280"/>
      <c r="S4" s="280"/>
      <c r="U4" s="256" t="s">
        <v>68</v>
      </c>
      <c r="V4" s="257"/>
      <c r="W4" s="258"/>
      <c r="Y4" s="256" t="s">
        <v>77</v>
      </c>
      <c r="Z4" s="257"/>
      <c r="AA4" s="257"/>
      <c r="AB4" s="257"/>
      <c r="AC4" s="257"/>
      <c r="AD4" s="257"/>
      <c r="AE4" s="257"/>
      <c r="AF4" s="258"/>
    </row>
    <row r="5" spans="1:32" ht="15" customHeight="1" x14ac:dyDescent="0.25">
      <c r="A5" s="265" t="s">
        <v>2</v>
      </c>
      <c r="B5" s="265"/>
      <c r="C5" s="265"/>
      <c r="D5" s="265"/>
      <c r="E5" s="265"/>
      <c r="G5" s="256">
        <v>1</v>
      </c>
      <c r="H5" s="257"/>
      <c r="I5" s="257"/>
      <c r="J5" s="258"/>
      <c r="K5" s="256">
        <v>5</v>
      </c>
      <c r="L5" s="257"/>
      <c r="M5" s="258"/>
      <c r="O5" s="280" t="s">
        <v>39</v>
      </c>
      <c r="P5" s="280"/>
      <c r="Q5" s="280"/>
      <c r="R5" s="280"/>
      <c r="S5" s="280"/>
      <c r="U5" s="254" t="s">
        <v>69</v>
      </c>
      <c r="V5" s="254"/>
      <c r="W5" s="254"/>
      <c r="Y5" s="276" t="s">
        <v>76</v>
      </c>
      <c r="Z5" s="277"/>
      <c r="AA5" s="277"/>
      <c r="AB5" s="277"/>
      <c r="AC5" s="277"/>
      <c r="AD5" s="277"/>
      <c r="AE5" s="277"/>
      <c r="AF5" s="278"/>
    </row>
    <row r="6" spans="1:32" ht="15" customHeight="1" x14ac:dyDescent="0.25">
      <c r="A6" s="271" t="s">
        <v>20</v>
      </c>
      <c r="B6" s="272"/>
      <c r="C6" s="272"/>
      <c r="D6" s="272"/>
      <c r="E6" s="273"/>
      <c r="G6" s="256">
        <v>2</v>
      </c>
      <c r="H6" s="257"/>
      <c r="I6" s="257"/>
      <c r="J6" s="258"/>
      <c r="K6" s="274"/>
      <c r="L6" s="275"/>
      <c r="M6" s="275"/>
      <c r="O6" s="271" t="s">
        <v>40</v>
      </c>
      <c r="P6" s="272"/>
      <c r="Q6" s="272"/>
      <c r="R6" s="272"/>
      <c r="S6" s="273"/>
      <c r="Y6" s="279" t="s">
        <v>78</v>
      </c>
      <c r="Z6" s="257"/>
      <c r="AA6" s="257"/>
      <c r="AB6" s="257"/>
      <c r="AC6" s="257"/>
      <c r="AD6" s="257"/>
      <c r="AE6" s="257"/>
      <c r="AF6" s="258"/>
    </row>
    <row r="7" spans="1:32" ht="15" customHeight="1" x14ac:dyDescent="0.25">
      <c r="A7" s="265" t="s">
        <v>3</v>
      </c>
      <c r="B7" s="265"/>
      <c r="C7" s="265"/>
      <c r="D7" s="265"/>
      <c r="E7" s="265"/>
      <c r="G7" s="256">
        <v>5</v>
      </c>
      <c r="H7" s="257"/>
      <c r="I7" s="257"/>
      <c r="J7" s="258"/>
      <c r="K7" s="269"/>
      <c r="L7" s="170"/>
      <c r="M7" s="170"/>
      <c r="O7" s="271" t="s">
        <v>41</v>
      </c>
      <c r="P7" s="272"/>
      <c r="Q7" s="272"/>
      <c r="R7" s="272"/>
      <c r="S7" s="273"/>
    </row>
    <row r="8" spans="1:32" ht="15" customHeight="1" x14ac:dyDescent="0.25">
      <c r="G8" s="256">
        <v>10</v>
      </c>
      <c r="H8" s="257"/>
      <c r="I8" s="257"/>
      <c r="J8" s="258"/>
      <c r="K8" s="269"/>
      <c r="L8" s="170"/>
      <c r="M8" s="170"/>
    </row>
    <row r="9" spans="1:32" ht="15" customHeight="1" x14ac:dyDescent="0.25">
      <c r="G9" s="256">
        <v>20</v>
      </c>
      <c r="H9" s="257"/>
      <c r="I9" s="257"/>
      <c r="J9" s="258"/>
      <c r="K9" s="269"/>
      <c r="L9" s="170"/>
      <c r="M9" s="170"/>
    </row>
    <row r="10" spans="1:32" ht="15" customHeight="1" x14ac:dyDescent="0.25"/>
    <row r="11" spans="1:32" ht="15" customHeight="1" x14ac:dyDescent="0.25">
      <c r="A11" s="255" t="s">
        <v>63</v>
      </c>
      <c r="B11" s="255"/>
      <c r="C11" s="255"/>
      <c r="D11" s="255"/>
      <c r="G11" s="255" t="s">
        <v>19</v>
      </c>
      <c r="H11" s="255"/>
      <c r="I11" s="255"/>
      <c r="J11" s="255"/>
      <c r="K11" s="255"/>
      <c r="L11" s="255"/>
      <c r="M11" s="255"/>
      <c r="O11" s="255" t="s">
        <v>89</v>
      </c>
      <c r="P11" s="255"/>
      <c r="Q11" s="255"/>
      <c r="R11" s="255"/>
      <c r="S11" s="255"/>
      <c r="U11" s="255" t="s">
        <v>97</v>
      </c>
      <c r="V11" s="255"/>
      <c r="W11" s="255"/>
      <c r="X11" s="255"/>
      <c r="AA11" s="255" t="s">
        <v>93</v>
      </c>
      <c r="AB11" s="255"/>
      <c r="AC11" s="255"/>
      <c r="AD11" s="255"/>
      <c r="AE11" s="255"/>
    </row>
    <row r="12" spans="1:32" ht="15" customHeight="1" x14ac:dyDescent="0.25">
      <c r="A12" s="254" t="s">
        <v>79</v>
      </c>
      <c r="B12" s="254"/>
      <c r="C12" s="254"/>
      <c r="D12" s="254"/>
      <c r="G12" s="254" t="s">
        <v>74</v>
      </c>
      <c r="H12" s="254"/>
      <c r="I12" s="254"/>
      <c r="J12" s="254"/>
      <c r="K12" s="254"/>
      <c r="L12" s="254"/>
      <c r="M12" s="254"/>
      <c r="O12" s="254" t="s">
        <v>90</v>
      </c>
      <c r="P12" s="254"/>
      <c r="Q12" s="254"/>
      <c r="R12" s="254"/>
      <c r="S12" s="254"/>
      <c r="U12" s="254" t="s">
        <v>94</v>
      </c>
      <c r="V12" s="254"/>
      <c r="W12" s="254"/>
      <c r="X12" s="254"/>
      <c r="AA12" s="254" t="s">
        <v>94</v>
      </c>
      <c r="AB12" s="254"/>
      <c r="AC12" s="254"/>
      <c r="AD12" s="254"/>
      <c r="AE12" s="254"/>
    </row>
    <row r="13" spans="1:32" ht="15" customHeight="1" x14ac:dyDescent="0.25">
      <c r="A13" s="254" t="s">
        <v>78</v>
      </c>
      <c r="B13" s="254"/>
      <c r="C13" s="254"/>
      <c r="D13" s="254"/>
      <c r="G13" s="254" t="s">
        <v>40</v>
      </c>
      <c r="H13" s="254"/>
      <c r="I13" s="254"/>
      <c r="J13" s="254"/>
      <c r="K13" s="254"/>
      <c r="L13" s="254"/>
      <c r="M13" s="254"/>
      <c r="O13" s="254" t="s">
        <v>91</v>
      </c>
      <c r="P13" s="254"/>
      <c r="Q13" s="254"/>
      <c r="R13" s="254"/>
      <c r="S13" s="254"/>
      <c r="U13" s="254" t="s">
        <v>98</v>
      </c>
      <c r="V13" s="254"/>
      <c r="W13" s="254"/>
      <c r="X13" s="254"/>
      <c r="AA13" s="254" t="s">
        <v>95</v>
      </c>
      <c r="AB13" s="254"/>
      <c r="AC13" s="254"/>
      <c r="AD13" s="254"/>
      <c r="AE13" s="254"/>
    </row>
    <row r="14" spans="1:32" ht="15" customHeight="1" x14ac:dyDescent="0.25">
      <c r="G14" s="254" t="s">
        <v>75</v>
      </c>
      <c r="H14" s="254"/>
      <c r="I14" s="254"/>
      <c r="J14" s="254"/>
      <c r="K14" s="254"/>
      <c r="L14" s="254"/>
      <c r="M14" s="254"/>
      <c r="AA14" s="254" t="s">
        <v>96</v>
      </c>
      <c r="AB14" s="254"/>
      <c r="AC14" s="254"/>
      <c r="AD14" s="254"/>
      <c r="AE14" s="254"/>
    </row>
    <row r="15" spans="1:32" ht="15" customHeight="1" x14ac:dyDescent="0.25">
      <c r="AA15" s="254" t="s">
        <v>143</v>
      </c>
      <c r="AB15" s="254"/>
      <c r="AC15" s="254"/>
      <c r="AD15" s="254"/>
      <c r="AE15" s="254"/>
    </row>
    <row r="16" spans="1:32" ht="15" customHeight="1" x14ac:dyDescent="0.25">
      <c r="A16" s="250" t="s">
        <v>102</v>
      </c>
      <c r="B16" s="251"/>
      <c r="C16" s="251"/>
      <c r="D16" s="251"/>
      <c r="E16" s="251"/>
      <c r="F16" s="251"/>
      <c r="G16" s="251"/>
      <c r="H16" s="252"/>
      <c r="J16" s="255" t="s">
        <v>133</v>
      </c>
      <c r="K16" s="255"/>
      <c r="L16" s="255"/>
      <c r="M16" s="255"/>
      <c r="N16" s="255"/>
      <c r="O16" s="255"/>
      <c r="P16" s="255"/>
      <c r="Q16" s="255"/>
      <c r="R16" s="255"/>
      <c r="T16" s="255" t="s">
        <v>138</v>
      </c>
      <c r="U16" s="255"/>
      <c r="V16" s="255"/>
      <c r="W16" s="255"/>
      <c r="X16" s="255"/>
      <c r="Y16" s="255"/>
    </row>
    <row r="17" spans="1:31" ht="15" customHeight="1" x14ac:dyDescent="0.25">
      <c r="A17" s="256" t="s">
        <v>104</v>
      </c>
      <c r="B17" s="257"/>
      <c r="C17" s="257"/>
      <c r="D17" s="257"/>
      <c r="E17" s="257"/>
      <c r="F17" s="257"/>
      <c r="G17" s="257"/>
      <c r="H17" s="258"/>
      <c r="J17" s="254" t="s">
        <v>134</v>
      </c>
      <c r="K17" s="254"/>
      <c r="L17" s="254"/>
      <c r="M17" s="254"/>
      <c r="N17" s="254"/>
      <c r="O17" s="254"/>
      <c r="P17" s="254"/>
      <c r="Q17" s="254"/>
      <c r="R17" s="254"/>
      <c r="T17" s="254" t="s">
        <v>68</v>
      </c>
      <c r="U17" s="254"/>
      <c r="V17" s="254"/>
      <c r="W17" s="254"/>
      <c r="X17" s="254"/>
      <c r="Y17" s="254"/>
    </row>
    <row r="18" spans="1:31" ht="15" customHeight="1" x14ac:dyDescent="0.25">
      <c r="A18" s="256" t="s">
        <v>105</v>
      </c>
      <c r="B18" s="257"/>
      <c r="C18" s="257"/>
      <c r="D18" s="257"/>
      <c r="E18" s="257"/>
      <c r="F18" s="257"/>
      <c r="G18" s="257"/>
      <c r="H18" s="258"/>
      <c r="J18" s="254" t="s">
        <v>135</v>
      </c>
      <c r="K18" s="254"/>
      <c r="L18" s="254"/>
      <c r="M18" s="254"/>
      <c r="N18" s="254"/>
      <c r="O18" s="254"/>
      <c r="P18" s="254"/>
      <c r="Q18" s="254"/>
      <c r="R18" s="254"/>
      <c r="T18" s="254" t="s">
        <v>69</v>
      </c>
      <c r="U18" s="254"/>
      <c r="V18" s="254"/>
      <c r="W18" s="254"/>
      <c r="X18" s="254"/>
      <c r="Y18" s="254"/>
    </row>
    <row r="19" spans="1:31" ht="15" customHeight="1" x14ac:dyDescent="0.25">
      <c r="A19" s="256" t="s">
        <v>106</v>
      </c>
      <c r="B19" s="257"/>
      <c r="C19" s="257"/>
      <c r="D19" s="257"/>
      <c r="E19" s="257"/>
      <c r="F19" s="257"/>
      <c r="G19" s="257"/>
      <c r="H19" s="258"/>
      <c r="J19" s="254" t="s">
        <v>136</v>
      </c>
      <c r="K19" s="254"/>
      <c r="L19" s="254"/>
      <c r="M19" s="254"/>
      <c r="N19" s="254"/>
      <c r="O19" s="254"/>
      <c r="P19" s="254"/>
      <c r="Q19" s="254"/>
      <c r="R19" s="254"/>
      <c r="T19" s="47"/>
      <c r="U19" s="47"/>
    </row>
    <row r="20" spans="1:31" ht="15" customHeight="1" x14ac:dyDescent="0.25">
      <c r="A20" s="256" t="s">
        <v>107</v>
      </c>
      <c r="B20" s="257"/>
      <c r="C20" s="257"/>
      <c r="D20" s="257"/>
      <c r="E20" s="257"/>
      <c r="F20" s="257"/>
      <c r="G20" s="257"/>
      <c r="H20" s="258"/>
      <c r="J20" s="254" t="s">
        <v>137</v>
      </c>
      <c r="K20" s="254"/>
      <c r="L20" s="254"/>
      <c r="M20" s="254"/>
      <c r="N20" s="254"/>
      <c r="O20" s="254"/>
      <c r="P20" s="254"/>
      <c r="Q20" s="254"/>
      <c r="R20" s="254"/>
      <c r="T20" s="48"/>
      <c r="U20" s="48"/>
    </row>
    <row r="21" spans="1:31" ht="15" customHeight="1" x14ac:dyDescent="0.25">
      <c r="T21" s="47"/>
      <c r="U21" s="47"/>
    </row>
    <row r="22" spans="1:31" ht="15" customHeight="1" x14ac:dyDescent="0.25">
      <c r="A22" s="255" t="s">
        <v>122</v>
      </c>
      <c r="B22" s="255"/>
      <c r="C22" s="255"/>
      <c r="D22" s="255"/>
      <c r="E22" s="255"/>
      <c r="F22" s="255"/>
      <c r="G22" s="255"/>
      <c r="H22" s="255"/>
      <c r="I22" s="255"/>
      <c r="J22" s="255"/>
      <c r="K22" s="255"/>
      <c r="L22" s="255"/>
      <c r="M22" s="255"/>
      <c r="N22" s="255" t="s">
        <v>124</v>
      </c>
      <c r="O22" s="255"/>
      <c r="P22" s="255" t="s">
        <v>69</v>
      </c>
      <c r="Q22" s="255"/>
      <c r="S22" s="259" t="s">
        <v>187</v>
      </c>
      <c r="T22" s="259"/>
      <c r="U22" s="259"/>
      <c r="V22" s="259"/>
      <c r="X22" s="259" t="s">
        <v>211</v>
      </c>
      <c r="Y22" s="259"/>
      <c r="Z22" s="259"/>
      <c r="AA22" s="259"/>
      <c r="AB22" s="259"/>
      <c r="AC22" s="259"/>
      <c r="AD22" s="259"/>
      <c r="AE22" s="259"/>
    </row>
    <row r="23" spans="1:31" ht="15" customHeight="1" x14ac:dyDescent="0.25">
      <c r="A23" s="284" t="s">
        <v>120</v>
      </c>
      <c r="B23" s="284"/>
      <c r="C23" s="284"/>
      <c r="D23" s="286" t="s">
        <v>121</v>
      </c>
      <c r="E23" s="287"/>
      <c r="F23" s="287"/>
      <c r="G23" s="266">
        <v>1</v>
      </c>
      <c r="H23" s="267"/>
      <c r="I23" s="267"/>
      <c r="J23" s="267"/>
      <c r="K23" s="267"/>
      <c r="L23" s="267"/>
      <c r="M23" s="268"/>
      <c r="N23" s="281">
        <v>1</v>
      </c>
      <c r="O23" s="281"/>
      <c r="P23" s="281">
        <v>1</v>
      </c>
      <c r="Q23" s="281"/>
      <c r="S23" s="254" t="s">
        <v>108</v>
      </c>
      <c r="T23" s="254"/>
      <c r="U23" s="254"/>
      <c r="V23" s="254"/>
      <c r="X23" s="254" t="s">
        <v>94</v>
      </c>
      <c r="Y23" s="254"/>
      <c r="Z23" s="254"/>
      <c r="AA23" s="254"/>
      <c r="AB23" s="254"/>
      <c r="AC23" s="254"/>
      <c r="AD23" s="254"/>
      <c r="AE23" s="254"/>
    </row>
    <row r="24" spans="1:31" ht="15" customHeight="1" x14ac:dyDescent="0.25">
      <c r="A24" s="284"/>
      <c r="B24" s="284"/>
      <c r="C24" s="284"/>
      <c r="D24" s="286"/>
      <c r="E24" s="287"/>
      <c r="F24" s="287"/>
      <c r="G24" s="266">
        <v>1.5</v>
      </c>
      <c r="H24" s="267"/>
      <c r="I24" s="267"/>
      <c r="J24" s="267"/>
      <c r="K24" s="267"/>
      <c r="L24" s="267"/>
      <c r="M24" s="268"/>
      <c r="N24" s="281">
        <v>1.5</v>
      </c>
      <c r="O24" s="281"/>
      <c r="P24" s="281">
        <v>1.5</v>
      </c>
      <c r="Q24" s="281"/>
      <c r="S24" s="254" t="s">
        <v>109</v>
      </c>
      <c r="T24" s="254"/>
      <c r="U24" s="254"/>
      <c r="V24" s="254"/>
      <c r="X24" s="254" t="s">
        <v>74</v>
      </c>
      <c r="Y24" s="254"/>
      <c r="Z24" s="254"/>
      <c r="AA24" s="254"/>
      <c r="AB24" s="254"/>
      <c r="AC24" s="254"/>
      <c r="AD24" s="254"/>
      <c r="AE24" s="254"/>
    </row>
    <row r="25" spans="1:31" ht="15" customHeight="1" thickBot="1" x14ac:dyDescent="0.3">
      <c r="A25" s="285"/>
      <c r="B25" s="285"/>
      <c r="C25" s="285"/>
      <c r="D25" s="286"/>
      <c r="E25" s="287"/>
      <c r="F25" s="287"/>
      <c r="G25" s="260">
        <v>2</v>
      </c>
      <c r="H25" s="261"/>
      <c r="I25" s="261"/>
      <c r="J25" s="261"/>
      <c r="K25" s="261"/>
      <c r="L25" s="261"/>
      <c r="M25" s="262"/>
      <c r="N25" s="281">
        <v>2</v>
      </c>
      <c r="O25" s="281"/>
      <c r="P25" s="281">
        <v>2</v>
      </c>
      <c r="Q25" s="281"/>
      <c r="X25" s="254" t="s">
        <v>40</v>
      </c>
      <c r="Y25" s="254"/>
      <c r="Z25" s="254"/>
      <c r="AA25" s="254"/>
      <c r="AB25" s="254"/>
      <c r="AC25" s="254"/>
      <c r="AD25" s="254"/>
      <c r="AE25" s="254"/>
    </row>
    <row r="26" spans="1:31" ht="15" customHeight="1" thickTop="1" x14ac:dyDescent="0.25">
      <c r="D26" s="286"/>
      <c r="E26" s="287"/>
      <c r="F26" s="287"/>
      <c r="G26" s="263">
        <v>2.5</v>
      </c>
      <c r="H26" s="263"/>
      <c r="I26" s="263"/>
      <c r="J26" s="263"/>
      <c r="K26" s="263"/>
      <c r="L26" s="263"/>
      <c r="M26" s="263"/>
      <c r="P26" s="281">
        <v>2.5</v>
      </c>
      <c r="Q26" s="281"/>
      <c r="X26" s="254" t="s">
        <v>75</v>
      </c>
      <c r="Y26" s="254"/>
      <c r="Z26" s="254"/>
      <c r="AA26" s="254"/>
      <c r="AB26" s="254"/>
      <c r="AC26" s="254"/>
      <c r="AD26" s="254"/>
      <c r="AE26" s="254"/>
    </row>
    <row r="27" spans="1:31" ht="15" customHeight="1" x14ac:dyDescent="0.25">
      <c r="D27" s="288"/>
      <c r="E27" s="289"/>
      <c r="F27" s="289"/>
      <c r="G27" s="281">
        <v>3</v>
      </c>
      <c r="H27" s="281"/>
      <c r="I27" s="281"/>
      <c r="J27" s="281"/>
      <c r="K27" s="281"/>
      <c r="L27" s="281"/>
      <c r="M27" s="281"/>
      <c r="P27" s="281">
        <v>3</v>
      </c>
      <c r="Q27" s="281"/>
    </row>
    <row r="28" spans="1:31" ht="15" customHeight="1" x14ac:dyDescent="0.25"/>
    <row r="29" spans="1:31" ht="15" customHeight="1" x14ac:dyDescent="0.25">
      <c r="A29" s="259" t="s">
        <v>191</v>
      </c>
      <c r="B29" s="259"/>
      <c r="C29" s="259"/>
      <c r="D29" s="259"/>
      <c r="E29" s="259"/>
      <c r="G29" s="253" t="s">
        <v>255</v>
      </c>
      <c r="H29" s="253"/>
      <c r="I29" s="253"/>
      <c r="J29" s="253"/>
      <c r="K29" s="253"/>
      <c r="L29" s="253"/>
    </row>
    <row r="30" spans="1:31" ht="15" customHeight="1" x14ac:dyDescent="0.25">
      <c r="A30" s="254" t="s">
        <v>222</v>
      </c>
      <c r="B30" s="254"/>
      <c r="C30" s="254"/>
      <c r="D30" s="254"/>
      <c r="E30" s="254"/>
      <c r="G30" s="254" t="s">
        <v>253</v>
      </c>
      <c r="H30" s="254"/>
      <c r="I30" s="254"/>
      <c r="J30" s="254"/>
      <c r="K30" s="254"/>
      <c r="L30" s="254"/>
    </row>
    <row r="31" spans="1:31" ht="15" customHeight="1" x14ac:dyDescent="0.25">
      <c r="A31" s="254" t="s">
        <v>223</v>
      </c>
      <c r="B31" s="254"/>
      <c r="C31" s="254"/>
      <c r="D31" s="254"/>
      <c r="E31" s="254"/>
      <c r="G31" s="254" t="s">
        <v>254</v>
      </c>
      <c r="H31" s="254"/>
      <c r="I31" s="254"/>
      <c r="J31" s="254"/>
      <c r="K31" s="254"/>
      <c r="L31" s="254"/>
    </row>
    <row r="32" spans="1:31"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sheetProtection algorithmName="SHA-512" hashValue="1lpXGEzP0a/IZDgHpXjF/bJWfzQB1UUcZ26GwsLFJB5/pHuOV4Z+2Q56aA2C3Dy8juQ5ReiP6GkAc5WT08MG1A==" saltValue="hg7yX3zbvCRYWt9+JLJxrA==" spinCount="100000" sheet="1" objects="1" scenarios="1"/>
  <mergeCells count="96">
    <mergeCell ref="N1:S1"/>
    <mergeCell ref="AA1:AF1"/>
    <mergeCell ref="A1:F1"/>
    <mergeCell ref="A23:C25"/>
    <mergeCell ref="D23:F27"/>
    <mergeCell ref="AA11:AE11"/>
    <mergeCell ref="AA12:AE12"/>
    <mergeCell ref="AA14:AE14"/>
    <mergeCell ref="A13:D13"/>
    <mergeCell ref="A17:H17"/>
    <mergeCell ref="A18:H18"/>
    <mergeCell ref="A19:H19"/>
    <mergeCell ref="A20:H20"/>
    <mergeCell ref="J20:R20"/>
    <mergeCell ref="G27:M27"/>
    <mergeCell ref="P26:Q26"/>
    <mergeCell ref="P27:Q27"/>
    <mergeCell ref="N25:O25"/>
    <mergeCell ref="N22:O22"/>
    <mergeCell ref="P23:Q23"/>
    <mergeCell ref="P22:Q22"/>
    <mergeCell ref="P24:Q24"/>
    <mergeCell ref="P25:Q25"/>
    <mergeCell ref="N23:O23"/>
    <mergeCell ref="N24:O24"/>
    <mergeCell ref="J19:R19"/>
    <mergeCell ref="O13:S13"/>
    <mergeCell ref="T16:Y16"/>
    <mergeCell ref="Y4:AF4"/>
    <mergeCell ref="Y5:AF5"/>
    <mergeCell ref="Y6:AF6"/>
    <mergeCell ref="O6:S6"/>
    <mergeCell ref="O7:S7"/>
    <mergeCell ref="O5:S5"/>
    <mergeCell ref="O4:S4"/>
    <mergeCell ref="G7:J7"/>
    <mergeCell ref="G8:J8"/>
    <mergeCell ref="G9:J9"/>
    <mergeCell ref="K7:M7"/>
    <mergeCell ref="K8:M8"/>
    <mergeCell ref="G3:M3"/>
    <mergeCell ref="A6:E6"/>
    <mergeCell ref="G4:J4"/>
    <mergeCell ref="G5:J5"/>
    <mergeCell ref="G6:J6"/>
    <mergeCell ref="K4:M4"/>
    <mergeCell ref="K5:M5"/>
    <mergeCell ref="K6:M6"/>
    <mergeCell ref="A29:E29"/>
    <mergeCell ref="A3:E3"/>
    <mergeCell ref="A4:E4"/>
    <mergeCell ref="A5:E5"/>
    <mergeCell ref="A7:E7"/>
    <mergeCell ref="A16:H16"/>
    <mergeCell ref="G11:M11"/>
    <mergeCell ref="G12:M12"/>
    <mergeCell ref="G13:M13"/>
    <mergeCell ref="G14:M14"/>
    <mergeCell ref="A11:D11"/>
    <mergeCell ref="A12:D12"/>
    <mergeCell ref="A22:M22"/>
    <mergeCell ref="G23:M23"/>
    <mergeCell ref="G24:M24"/>
    <mergeCell ref="K9:M9"/>
    <mergeCell ref="A30:E30"/>
    <mergeCell ref="A31:E31"/>
    <mergeCell ref="AA13:AE13"/>
    <mergeCell ref="AA15:AE15"/>
    <mergeCell ref="J16:R16"/>
    <mergeCell ref="J17:R17"/>
    <mergeCell ref="J18:R18"/>
    <mergeCell ref="T17:Y17"/>
    <mergeCell ref="T18:Y18"/>
    <mergeCell ref="G26:M26"/>
    <mergeCell ref="X25:AE25"/>
    <mergeCell ref="X26:AE26"/>
    <mergeCell ref="X22:AE22"/>
    <mergeCell ref="S24:V24"/>
    <mergeCell ref="X23:AE23"/>
    <mergeCell ref="X24:AE24"/>
    <mergeCell ref="Y3:AF3"/>
    <mergeCell ref="G29:L29"/>
    <mergeCell ref="G30:L30"/>
    <mergeCell ref="G31:L31"/>
    <mergeCell ref="U3:W3"/>
    <mergeCell ref="U5:W5"/>
    <mergeCell ref="U4:W4"/>
    <mergeCell ref="O3:S3"/>
    <mergeCell ref="S22:V22"/>
    <mergeCell ref="S23:V23"/>
    <mergeCell ref="U11:X11"/>
    <mergeCell ref="U12:X12"/>
    <mergeCell ref="U13:X13"/>
    <mergeCell ref="O11:S11"/>
    <mergeCell ref="O12:S12"/>
    <mergeCell ref="G25:M25"/>
  </mergeCells>
  <hyperlinks>
    <hyperlink ref="N1:S1" location="INDEX!A1" display="🏠 INDEX"/>
    <hyperlink ref="AA1:AF1" location="'2'!A1" display="▶ 2"/>
  </hyperlinks>
  <pageMargins left="0.7" right="0.7" top="0.78740157499999996" bottom="0.78740157499999996" header="0.3" footer="0.3"/>
  <pageSetup paperSize="9" orientation="portrait" horizontalDpi="90" verticalDpi="90" r:id="rId1"/>
  <headerFooter>
    <oddHeader>&amp;L&amp;"-,Standard"1- Auswahltabellen</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AF52"/>
  <sheetViews>
    <sheetView view="pageLayout" zoomScaleNormal="100" workbookViewId="0">
      <selection activeCell="L21" sqref="L21"/>
    </sheetView>
  </sheetViews>
  <sheetFormatPr baseColWidth="10" defaultColWidth="0" defaultRowHeight="0" customHeight="1" zeroHeight="1" x14ac:dyDescent="0.25"/>
  <cols>
    <col min="1" max="32" width="2.375" style="1" customWidth="1"/>
    <col min="33" max="16384" width="2.375" style="1" hidden="1"/>
  </cols>
  <sheetData>
    <row r="1" spans="1:32" ht="15" customHeight="1" x14ac:dyDescent="0.25">
      <c r="A1" s="282" t="s">
        <v>174</v>
      </c>
      <c r="B1" s="282"/>
      <c r="C1" s="282"/>
      <c r="D1" s="282"/>
      <c r="E1" s="282"/>
      <c r="F1" s="282"/>
      <c r="G1" s="2"/>
      <c r="H1" s="2"/>
      <c r="I1" s="2"/>
      <c r="J1" s="2"/>
      <c r="K1" s="2"/>
      <c r="L1" s="2"/>
      <c r="M1" s="2"/>
      <c r="N1" s="282" t="s">
        <v>170</v>
      </c>
      <c r="O1" s="282"/>
      <c r="P1" s="282"/>
      <c r="Q1" s="282"/>
      <c r="R1" s="282"/>
      <c r="S1" s="282"/>
      <c r="T1" s="2"/>
      <c r="U1" s="2"/>
      <c r="V1" s="2"/>
      <c r="W1" s="2"/>
      <c r="X1" s="2"/>
      <c r="Y1" s="2"/>
      <c r="Z1" s="2"/>
      <c r="AA1" s="282" t="s">
        <v>172</v>
      </c>
      <c r="AB1" s="282"/>
      <c r="AC1" s="282"/>
      <c r="AD1" s="282"/>
      <c r="AE1" s="282"/>
      <c r="AF1" s="282"/>
    </row>
    <row r="2" spans="1:32" ht="15" customHeight="1" x14ac:dyDescent="0.25"/>
    <row r="3" spans="1:32" ht="15" customHeight="1" x14ac:dyDescent="0.25">
      <c r="A3" s="1" t="s">
        <v>7</v>
      </c>
      <c r="I3" s="49" t="s">
        <v>29</v>
      </c>
    </row>
    <row r="4" spans="1:32" ht="15" customHeight="1" x14ac:dyDescent="0.25"/>
    <row r="5" spans="1:32" ht="15" customHeight="1" x14ac:dyDescent="0.25">
      <c r="A5" s="290" t="s">
        <v>30</v>
      </c>
      <c r="B5" s="291"/>
      <c r="C5" s="291"/>
      <c r="D5" s="291"/>
      <c r="E5" s="291"/>
      <c r="F5" s="291"/>
      <c r="G5" s="291"/>
      <c r="H5" s="291"/>
      <c r="I5" s="291"/>
      <c r="J5" s="291"/>
      <c r="K5" s="291"/>
      <c r="L5" s="292"/>
      <c r="M5" s="290" t="s">
        <v>12</v>
      </c>
      <c r="N5" s="291"/>
      <c r="O5" s="291"/>
      <c r="P5" s="291"/>
      <c r="Q5" s="292"/>
      <c r="R5" s="291" t="s">
        <v>17</v>
      </c>
      <c r="S5" s="291"/>
      <c r="T5" s="291"/>
      <c r="U5" s="291"/>
      <c r="V5" s="291"/>
      <c r="W5" s="291"/>
      <c r="X5" s="291"/>
      <c r="Y5" s="291"/>
      <c r="Z5" s="291"/>
      <c r="AA5" s="292"/>
    </row>
    <row r="6" spans="1:32" ht="15" customHeight="1" x14ac:dyDescent="0.25">
      <c r="A6" s="297" t="s">
        <v>31</v>
      </c>
      <c r="B6" s="293"/>
      <c r="C6" s="293"/>
      <c r="D6" s="293"/>
      <c r="E6" s="293"/>
      <c r="F6" s="293"/>
      <c r="G6" s="293"/>
      <c r="H6" s="293"/>
      <c r="I6" s="293"/>
      <c r="J6" s="293"/>
      <c r="K6" s="293"/>
      <c r="L6" s="294"/>
      <c r="M6" s="297"/>
      <c r="N6" s="293"/>
      <c r="O6" s="293"/>
      <c r="P6" s="293"/>
      <c r="Q6" s="294"/>
      <c r="R6" s="293"/>
      <c r="S6" s="293"/>
      <c r="T6" s="293"/>
      <c r="U6" s="293"/>
      <c r="V6" s="293"/>
      <c r="W6" s="293"/>
      <c r="X6" s="293"/>
      <c r="Y6" s="293"/>
      <c r="Z6" s="293"/>
      <c r="AA6" s="294"/>
    </row>
    <row r="7" spans="1:32" ht="15" customHeight="1" x14ac:dyDescent="0.25">
      <c r="A7" s="298" t="s">
        <v>32</v>
      </c>
      <c r="B7" s="295"/>
      <c r="C7" s="295"/>
      <c r="D7" s="295"/>
      <c r="E7" s="295"/>
      <c r="F7" s="295"/>
      <c r="G7" s="295"/>
      <c r="H7" s="295"/>
      <c r="I7" s="295"/>
      <c r="J7" s="295"/>
      <c r="K7" s="295"/>
      <c r="L7" s="296"/>
      <c r="M7" s="298"/>
      <c r="N7" s="295"/>
      <c r="O7" s="295"/>
      <c r="P7" s="295"/>
      <c r="Q7" s="296"/>
      <c r="R7" s="295"/>
      <c r="S7" s="295"/>
      <c r="T7" s="295"/>
      <c r="U7" s="295"/>
      <c r="V7" s="295"/>
      <c r="W7" s="295"/>
      <c r="X7" s="295"/>
      <c r="Y7" s="295"/>
      <c r="Z7" s="295"/>
      <c r="AA7" s="296"/>
    </row>
    <row r="8" spans="1:32" ht="15" customHeight="1" x14ac:dyDescent="0.25">
      <c r="A8" s="299" t="s">
        <v>33</v>
      </c>
      <c r="B8" s="300"/>
      <c r="C8" s="300"/>
      <c r="D8" s="300"/>
      <c r="E8" s="300"/>
      <c r="F8" s="300"/>
      <c r="G8" s="300"/>
      <c r="H8" s="300"/>
      <c r="I8" s="300"/>
      <c r="J8" s="300"/>
      <c r="K8" s="300"/>
      <c r="L8" s="300"/>
      <c r="M8" s="299" t="s">
        <v>15</v>
      </c>
      <c r="N8" s="300"/>
      <c r="O8" s="300"/>
      <c r="P8" s="300"/>
      <c r="Q8" s="303"/>
      <c r="R8" s="304" t="s">
        <v>37</v>
      </c>
      <c r="S8" s="304"/>
      <c r="T8" s="304"/>
      <c r="U8" s="304"/>
      <c r="V8" s="304"/>
      <c r="W8" s="300" t="s">
        <v>38</v>
      </c>
      <c r="X8" s="300"/>
      <c r="Y8" s="300"/>
      <c r="Z8" s="300"/>
      <c r="AA8" s="303"/>
    </row>
    <row r="9" spans="1:32" ht="15" customHeight="1" x14ac:dyDescent="0.25">
      <c r="A9" s="254" t="s">
        <v>34</v>
      </c>
      <c r="B9" s="254"/>
      <c r="C9" s="254"/>
      <c r="D9" s="254"/>
      <c r="E9" s="254"/>
      <c r="F9" s="254"/>
      <c r="G9" s="254"/>
      <c r="H9" s="254"/>
      <c r="I9" s="254"/>
      <c r="J9" s="254"/>
      <c r="K9" s="254"/>
      <c r="L9" s="254"/>
      <c r="M9" s="254" t="b">
        <f>IF(Berechnungstool!I5&lt;=300,TRUE,FALSE)</f>
        <v>1</v>
      </c>
      <c r="N9" s="254"/>
      <c r="O9" s="254"/>
      <c r="P9" s="254"/>
      <c r="Q9" s="254"/>
      <c r="R9" s="254">
        <v>0</v>
      </c>
      <c r="S9" s="254"/>
      <c r="T9" s="254"/>
      <c r="U9" s="254"/>
      <c r="V9" s="254"/>
      <c r="W9" s="257">
        <f>R9/60</f>
        <v>0</v>
      </c>
      <c r="X9" s="257"/>
      <c r="Y9" s="257"/>
      <c r="Z9" s="257"/>
      <c r="AA9" s="258"/>
    </row>
    <row r="10" spans="1:32" ht="15" customHeight="1" x14ac:dyDescent="0.25">
      <c r="A10" s="254" t="s">
        <v>35</v>
      </c>
      <c r="B10" s="254"/>
      <c r="C10" s="254"/>
      <c r="D10" s="254"/>
      <c r="E10" s="254"/>
      <c r="F10" s="254"/>
      <c r="G10" s="254"/>
      <c r="H10" s="254"/>
      <c r="I10" s="254"/>
      <c r="J10" s="254"/>
      <c r="K10" s="254"/>
      <c r="L10" s="254"/>
      <c r="M10" s="254" t="b">
        <f>AND(Berechnungstool!I5&gt;=301,Berechnungstool!I5&lt;601)</f>
        <v>0</v>
      </c>
      <c r="N10" s="254"/>
      <c r="O10" s="254"/>
      <c r="P10" s="254"/>
      <c r="Q10" s="254"/>
      <c r="R10" s="254">
        <v>5</v>
      </c>
      <c r="S10" s="254"/>
      <c r="T10" s="254"/>
      <c r="U10" s="254"/>
      <c r="V10" s="254"/>
      <c r="W10" s="301">
        <f t="shared" ref="W10:W11" si="0">R10/60</f>
        <v>8.3333333333333329E-2</v>
      </c>
      <c r="X10" s="301"/>
      <c r="Y10" s="301"/>
      <c r="Z10" s="301"/>
      <c r="AA10" s="302"/>
    </row>
    <row r="11" spans="1:32" ht="15" customHeight="1" x14ac:dyDescent="0.25">
      <c r="A11" s="254" t="s">
        <v>36</v>
      </c>
      <c r="B11" s="254"/>
      <c r="C11" s="254"/>
      <c r="D11" s="254"/>
      <c r="E11" s="254"/>
      <c r="F11" s="254"/>
      <c r="G11" s="254"/>
      <c r="H11" s="254"/>
      <c r="I11" s="254"/>
      <c r="J11" s="254"/>
      <c r="K11" s="254"/>
      <c r="L11" s="254"/>
      <c r="M11" s="254" t="b">
        <f>IF(Berechnungstool!I5&gt;=601,TRUE,FALSE)</f>
        <v>0</v>
      </c>
      <c r="N11" s="254"/>
      <c r="O11" s="254"/>
      <c r="P11" s="254"/>
      <c r="Q11" s="254"/>
      <c r="R11" s="254">
        <v>10</v>
      </c>
      <c r="S11" s="254"/>
      <c r="T11" s="254"/>
      <c r="U11" s="254"/>
      <c r="V11" s="254"/>
      <c r="W11" s="301">
        <f t="shared" si="0"/>
        <v>0.16666666666666666</v>
      </c>
      <c r="X11" s="301"/>
      <c r="Y11" s="301"/>
      <c r="Z11" s="301"/>
      <c r="AA11" s="302"/>
    </row>
    <row r="12" spans="1:32" ht="15" customHeight="1" x14ac:dyDescent="0.25"/>
    <row r="13" spans="1:32" ht="15" customHeight="1" x14ac:dyDescent="0.25"/>
    <row r="14" spans="1:32" ht="15" customHeight="1" x14ac:dyDescent="0.25"/>
    <row r="15" spans="1:32" ht="15" customHeight="1" x14ac:dyDescent="0.25"/>
    <row r="16" spans="1:32"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hidden="1" customHeight="1" x14ac:dyDescent="0.25"/>
    <row r="52" ht="15" hidden="1" customHeight="1" x14ac:dyDescent="0.25"/>
  </sheetData>
  <sheetProtection algorithmName="SHA-512" hashValue="e9JSfz1KIVr7kXDdin52GZLhANoQ8QCtyTjuue+IFKqR6o0J+ZpyYkp/8NzINWslFVjui4NO+u1KKr0zvyqo5w==" saltValue="torMGBea5a6P+lTGgwEk/A==" spinCount="100000" sheet="1" objects="1" scenarios="1"/>
  <mergeCells count="28">
    <mergeCell ref="N1:S1"/>
    <mergeCell ref="AA1:AF1"/>
    <mergeCell ref="A1:F1"/>
    <mergeCell ref="M9:Q9"/>
    <mergeCell ref="M10:Q10"/>
    <mergeCell ref="M11:Q11"/>
    <mergeCell ref="R8:V8"/>
    <mergeCell ref="W8:AA8"/>
    <mergeCell ref="R9:V9"/>
    <mergeCell ref="W9:AA9"/>
    <mergeCell ref="R10:V10"/>
    <mergeCell ref="W10:AA10"/>
    <mergeCell ref="A11:L11"/>
    <mergeCell ref="M5:Q5"/>
    <mergeCell ref="R5:AA5"/>
    <mergeCell ref="R6:AA6"/>
    <mergeCell ref="R7:AA7"/>
    <mergeCell ref="M6:Q6"/>
    <mergeCell ref="A5:L5"/>
    <mergeCell ref="A6:L6"/>
    <mergeCell ref="A7:L7"/>
    <mergeCell ref="A8:L8"/>
    <mergeCell ref="A9:L9"/>
    <mergeCell ref="A10:L10"/>
    <mergeCell ref="R11:V11"/>
    <mergeCell ref="W11:AA11"/>
    <mergeCell ref="M7:Q7"/>
    <mergeCell ref="M8:Q8"/>
  </mergeCells>
  <conditionalFormatting sqref="M9:Q11">
    <cfRule type="cellIs" dxfId="19" priority="1" operator="equal">
      <formula>TRUE</formula>
    </cfRule>
  </conditionalFormatting>
  <hyperlinks>
    <hyperlink ref="N1:S1" location="INDEX!A1" display="🏠 INDEX"/>
    <hyperlink ref="A1:F1" location="'1'!A1" display="1 ◀"/>
    <hyperlink ref="AA1:AF1" location="'3'!A1" display="▶ 3"/>
  </hyperlinks>
  <pageMargins left="0.7" right="0.7" top="0.78740157499999996" bottom="0.78740157499999996" header="0.3" footer="0.3"/>
  <pageSetup paperSize="9" orientation="portrait" horizontalDpi="90" verticalDpi="90" r:id="rId1"/>
  <headerFooter>
    <oddHeader>&amp;L&amp;"-,Standard"2 - Regendauer</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theme="9" tint="0.39997558519241921"/>
  </sheetPr>
  <dimension ref="A1:AH58"/>
  <sheetViews>
    <sheetView view="pageLayout" zoomScaleNormal="100" workbookViewId="0">
      <selection activeCell="AA1" sqref="AA1:AF1"/>
    </sheetView>
  </sheetViews>
  <sheetFormatPr baseColWidth="10" defaultColWidth="0" defaultRowHeight="0" customHeight="1" zeroHeight="1" x14ac:dyDescent="0.25"/>
  <cols>
    <col min="1" max="29" width="2.375" style="50" customWidth="1"/>
    <col min="30" max="32" width="2.375" style="1" customWidth="1"/>
    <col min="33" max="33" width="0" style="1" hidden="1" customWidth="1"/>
    <col min="34" max="34" width="0" style="50" hidden="1" customWidth="1"/>
    <col min="35" max="16384" width="2.375" style="50" hidden="1"/>
  </cols>
  <sheetData>
    <row r="1" spans="1:34" s="1" customFormat="1" ht="15" customHeight="1" x14ac:dyDescent="0.25">
      <c r="A1" s="282" t="s">
        <v>173</v>
      </c>
      <c r="B1" s="282"/>
      <c r="C1" s="282"/>
      <c r="D1" s="282"/>
      <c r="E1" s="282"/>
      <c r="F1" s="282"/>
      <c r="G1" s="2"/>
      <c r="H1" s="2"/>
      <c r="I1" s="2"/>
      <c r="J1" s="2"/>
      <c r="K1" s="2"/>
      <c r="L1" s="2"/>
      <c r="M1" s="2"/>
      <c r="N1" s="282" t="s">
        <v>170</v>
      </c>
      <c r="O1" s="282"/>
      <c r="P1" s="282"/>
      <c r="Q1" s="282"/>
      <c r="R1" s="282"/>
      <c r="S1" s="282"/>
      <c r="T1" s="2"/>
      <c r="U1" s="2"/>
      <c r="V1" s="2"/>
      <c r="W1" s="2"/>
      <c r="X1" s="2"/>
      <c r="Y1" s="2"/>
      <c r="Z1" s="2"/>
      <c r="AA1" s="282" t="s">
        <v>175</v>
      </c>
      <c r="AB1" s="282"/>
      <c r="AC1" s="282"/>
      <c r="AD1" s="282"/>
      <c r="AE1" s="282"/>
      <c r="AF1" s="282"/>
    </row>
    <row r="2" spans="1:34" s="1" customFormat="1" ht="15" customHeight="1" x14ac:dyDescent="0.25"/>
    <row r="3" spans="1:34" s="1" customFormat="1" ht="15" customHeight="1" x14ac:dyDescent="0.25">
      <c r="A3" s="1" t="s">
        <v>7</v>
      </c>
      <c r="I3" s="49" t="s">
        <v>8</v>
      </c>
      <c r="J3" s="49"/>
    </row>
    <row r="4" spans="1:34" s="1" customFormat="1" ht="15" customHeight="1" x14ac:dyDescent="0.25"/>
    <row r="5" spans="1:34" ht="15" customHeight="1" x14ac:dyDescent="0.25">
      <c r="A5" s="306" t="s">
        <v>0</v>
      </c>
      <c r="B5" s="306"/>
      <c r="C5" s="306"/>
      <c r="D5" s="306"/>
      <c r="E5" s="306"/>
      <c r="F5" s="306"/>
      <c r="G5" s="304" t="s">
        <v>4</v>
      </c>
      <c r="H5" s="304"/>
      <c r="I5" s="304"/>
      <c r="J5" s="304"/>
      <c r="K5" s="304"/>
      <c r="L5" s="304"/>
      <c r="M5" s="304"/>
      <c r="N5" s="304" t="s">
        <v>12</v>
      </c>
      <c r="O5" s="304"/>
      <c r="P5" s="304"/>
      <c r="Q5" s="304"/>
      <c r="R5" s="304" t="s">
        <v>10</v>
      </c>
      <c r="S5" s="304"/>
      <c r="T5" s="304"/>
      <c r="U5" s="304" t="s">
        <v>11</v>
      </c>
      <c r="V5" s="304"/>
      <c r="W5" s="304"/>
      <c r="X5" s="304" t="s">
        <v>9</v>
      </c>
      <c r="Y5" s="304"/>
      <c r="Z5" s="304"/>
      <c r="AA5" s="304"/>
      <c r="AB5" s="304"/>
      <c r="AC5" s="304"/>
      <c r="AH5" s="1"/>
    </row>
    <row r="6" spans="1:34" ht="15" customHeight="1" x14ac:dyDescent="0.25">
      <c r="A6" s="299" t="s">
        <v>15</v>
      </c>
      <c r="B6" s="300"/>
      <c r="C6" s="300"/>
      <c r="D6" s="300"/>
      <c r="E6" s="300"/>
      <c r="F6" s="303"/>
      <c r="G6" s="299" t="s">
        <v>16</v>
      </c>
      <c r="H6" s="300"/>
      <c r="I6" s="300"/>
      <c r="J6" s="300"/>
      <c r="K6" s="300"/>
      <c r="L6" s="300"/>
      <c r="M6" s="303"/>
      <c r="N6" s="299" t="s">
        <v>15</v>
      </c>
      <c r="O6" s="300"/>
      <c r="P6" s="300"/>
      <c r="Q6" s="303"/>
      <c r="R6" s="299" t="s">
        <v>15</v>
      </c>
      <c r="S6" s="300"/>
      <c r="T6" s="303"/>
      <c r="U6" s="299" t="s">
        <v>15</v>
      </c>
      <c r="V6" s="300"/>
      <c r="W6" s="303"/>
      <c r="X6" s="299" t="s">
        <v>14</v>
      </c>
      <c r="Y6" s="300"/>
      <c r="Z6" s="300"/>
      <c r="AA6" s="300"/>
      <c r="AB6" s="300"/>
      <c r="AC6" s="303"/>
      <c r="AH6" s="1"/>
    </row>
    <row r="7" spans="1:34" ht="15" customHeight="1" x14ac:dyDescent="0.25">
      <c r="A7" s="309" t="s">
        <v>1</v>
      </c>
      <c r="B7" s="309"/>
      <c r="C7" s="309"/>
      <c r="D7" s="309"/>
      <c r="E7" s="309"/>
      <c r="F7" s="309"/>
      <c r="G7" s="307">
        <v>0.5</v>
      </c>
      <c r="H7" s="307"/>
      <c r="I7" s="307"/>
      <c r="J7" s="307"/>
      <c r="K7" s="307"/>
      <c r="L7" s="307"/>
      <c r="M7" s="307"/>
      <c r="N7" s="307" t="b">
        <f>AND(A7=Berechnungstool!$I$9,'3'!G7=Berechnungstool!$I$10)</f>
        <v>0</v>
      </c>
      <c r="O7" s="307"/>
      <c r="P7" s="307"/>
      <c r="Q7" s="307"/>
      <c r="R7" s="308">
        <v>11</v>
      </c>
      <c r="S7" s="308"/>
      <c r="T7" s="308"/>
      <c r="U7" s="305">
        <v>0.33500000000000002</v>
      </c>
      <c r="V7" s="305"/>
      <c r="W7" s="305"/>
      <c r="X7" s="305">
        <f>R7/(Berechnungstool!$I$13+'3'!U7)*2.78</f>
        <v>52.273504273504273</v>
      </c>
      <c r="Y7" s="305"/>
      <c r="Z7" s="305"/>
      <c r="AA7" s="305"/>
      <c r="AB7" s="305"/>
      <c r="AC7" s="305"/>
      <c r="AH7" s="1"/>
    </row>
    <row r="8" spans="1:34" ht="15" customHeight="1" x14ac:dyDescent="0.25">
      <c r="A8" s="309" t="s">
        <v>1</v>
      </c>
      <c r="B8" s="309"/>
      <c r="C8" s="309"/>
      <c r="D8" s="309"/>
      <c r="E8" s="309"/>
      <c r="F8" s="309"/>
      <c r="G8" s="307">
        <v>1</v>
      </c>
      <c r="H8" s="307"/>
      <c r="I8" s="307"/>
      <c r="J8" s="307"/>
      <c r="K8" s="307"/>
      <c r="L8" s="307"/>
      <c r="M8" s="307"/>
      <c r="N8" s="307" t="b">
        <f>AND(A8=Berechnungstool!$I$9,'3'!G8=Berechnungstool!$I$10)</f>
        <v>0</v>
      </c>
      <c r="O8" s="307"/>
      <c r="P8" s="307"/>
      <c r="Q8" s="307"/>
      <c r="R8" s="308">
        <v>12.38</v>
      </c>
      <c r="S8" s="308"/>
      <c r="T8" s="308"/>
      <c r="U8" s="305">
        <v>0.248</v>
      </c>
      <c r="V8" s="305"/>
      <c r="W8" s="305"/>
      <c r="X8" s="305">
        <f>R8/(Berechnungstool!$I$13+'3'!U8)*2.78</f>
        <v>69.10923694779116</v>
      </c>
      <c r="Y8" s="305"/>
      <c r="Z8" s="305"/>
      <c r="AA8" s="305"/>
      <c r="AB8" s="305"/>
      <c r="AC8" s="305"/>
      <c r="AH8" s="1"/>
    </row>
    <row r="9" spans="1:34" ht="15" customHeight="1" x14ac:dyDescent="0.25">
      <c r="A9" s="309" t="s">
        <v>1</v>
      </c>
      <c r="B9" s="309"/>
      <c r="C9" s="309"/>
      <c r="D9" s="309"/>
      <c r="E9" s="309"/>
      <c r="F9" s="309"/>
      <c r="G9" s="307">
        <v>2</v>
      </c>
      <c r="H9" s="307"/>
      <c r="I9" s="307"/>
      <c r="J9" s="307"/>
      <c r="K9" s="307"/>
      <c r="L9" s="307"/>
      <c r="M9" s="307"/>
      <c r="N9" s="307" t="b">
        <f>AND(A9=Berechnungstool!$I$9,'3'!G9=Berechnungstool!$I$10)</f>
        <v>0</v>
      </c>
      <c r="O9" s="307"/>
      <c r="P9" s="307"/>
      <c r="Q9" s="307"/>
      <c r="R9" s="308">
        <v>14.02</v>
      </c>
      <c r="S9" s="308"/>
      <c r="T9" s="308"/>
      <c r="U9" s="305">
        <v>0.20399999999999999</v>
      </c>
      <c r="V9" s="305"/>
      <c r="W9" s="305"/>
      <c r="X9" s="305">
        <f>R9/(Berechnungstool!$I$13+'3'!U9)*2.78</f>
        <v>85.849339207048459</v>
      </c>
      <c r="Y9" s="305"/>
      <c r="Z9" s="305"/>
      <c r="AA9" s="305"/>
      <c r="AB9" s="305"/>
      <c r="AC9" s="305"/>
      <c r="AH9" s="1"/>
    </row>
    <row r="10" spans="1:34" ht="15" customHeight="1" x14ac:dyDescent="0.25">
      <c r="A10" s="309" t="s">
        <v>1</v>
      </c>
      <c r="B10" s="309"/>
      <c r="C10" s="309"/>
      <c r="D10" s="309"/>
      <c r="E10" s="309"/>
      <c r="F10" s="309"/>
      <c r="G10" s="307">
        <v>5</v>
      </c>
      <c r="H10" s="307"/>
      <c r="I10" s="307"/>
      <c r="J10" s="307"/>
      <c r="K10" s="307"/>
      <c r="L10" s="307"/>
      <c r="M10" s="307"/>
      <c r="N10" s="307" t="b">
        <f>AND(A10=Berechnungstool!$I$9,'3'!G10=Berechnungstool!$I$10)</f>
        <v>0</v>
      </c>
      <c r="O10" s="307"/>
      <c r="P10" s="307"/>
      <c r="Q10" s="307"/>
      <c r="R10" s="308">
        <v>16.420000000000002</v>
      </c>
      <c r="S10" s="308"/>
      <c r="T10" s="308"/>
      <c r="U10" s="305">
        <v>0.17299999999999999</v>
      </c>
      <c r="V10" s="305"/>
      <c r="W10" s="305"/>
      <c r="X10" s="305">
        <f>R10/(Berechnungstool!$I$13+'3'!U10)*2.78</f>
        <v>107.91394799054375</v>
      </c>
      <c r="Y10" s="305"/>
      <c r="Z10" s="305"/>
      <c r="AA10" s="305"/>
      <c r="AB10" s="305"/>
      <c r="AC10" s="305"/>
      <c r="AH10" s="1"/>
    </row>
    <row r="11" spans="1:34" ht="15" customHeight="1" x14ac:dyDescent="0.25">
      <c r="A11" s="309" t="s">
        <v>1</v>
      </c>
      <c r="B11" s="309"/>
      <c r="C11" s="309"/>
      <c r="D11" s="309"/>
      <c r="E11" s="309"/>
      <c r="F11" s="309"/>
      <c r="G11" s="307">
        <v>10</v>
      </c>
      <c r="H11" s="307"/>
      <c r="I11" s="307"/>
      <c r="J11" s="307"/>
      <c r="K11" s="307"/>
      <c r="L11" s="307"/>
      <c r="M11" s="307"/>
      <c r="N11" s="307" t="b">
        <f>AND(A11=Berechnungstool!$I$9,'3'!G11=Berechnungstool!$I$10)</f>
        <v>0</v>
      </c>
      <c r="O11" s="307"/>
      <c r="P11" s="307"/>
      <c r="Q11" s="307"/>
      <c r="R11" s="308">
        <v>18.309999999999999</v>
      </c>
      <c r="S11" s="308"/>
      <c r="T11" s="308"/>
      <c r="U11" s="305">
        <v>0.158</v>
      </c>
      <c r="V11" s="305"/>
      <c r="W11" s="305"/>
      <c r="X11" s="305">
        <f>R11/(Berechnungstool!$I$13+'3'!U11)*2.78</f>
        <v>124.75931372549016</v>
      </c>
      <c r="Y11" s="305"/>
      <c r="Z11" s="305"/>
      <c r="AA11" s="305"/>
      <c r="AB11" s="305"/>
      <c r="AC11" s="305"/>
      <c r="AH11" s="1"/>
    </row>
    <row r="12" spans="1:34" ht="15" customHeight="1" x14ac:dyDescent="0.25">
      <c r="A12" s="309" t="s">
        <v>1</v>
      </c>
      <c r="B12" s="309"/>
      <c r="C12" s="309"/>
      <c r="D12" s="309"/>
      <c r="E12" s="309"/>
      <c r="F12" s="309"/>
      <c r="G12" s="307">
        <v>20</v>
      </c>
      <c r="H12" s="307"/>
      <c r="I12" s="307"/>
      <c r="J12" s="307"/>
      <c r="K12" s="307"/>
      <c r="L12" s="307"/>
      <c r="M12" s="307"/>
      <c r="N12" s="307" t="b">
        <f>AND(A12=Berechnungstool!$I$9,'3'!G12=Berechnungstool!$I$10)</f>
        <v>0</v>
      </c>
      <c r="O12" s="307"/>
      <c r="P12" s="307"/>
      <c r="Q12" s="307"/>
      <c r="R12" s="308">
        <v>20.21</v>
      </c>
      <c r="S12" s="308"/>
      <c r="T12" s="308"/>
      <c r="U12" s="305">
        <v>0.14799999999999999</v>
      </c>
      <c r="V12" s="305"/>
      <c r="W12" s="305"/>
      <c r="X12" s="305">
        <f>R12/(Berechnungstool!$I$13+'3'!U12)*2.78</f>
        <v>141.16532663316582</v>
      </c>
      <c r="Y12" s="305"/>
      <c r="Z12" s="305"/>
      <c r="AA12" s="305"/>
      <c r="AB12" s="305"/>
      <c r="AC12" s="305"/>
      <c r="AH12" s="1"/>
    </row>
    <row r="13" spans="1:34" ht="15" customHeight="1" x14ac:dyDescent="0.25">
      <c r="A13" s="309" t="s">
        <v>2</v>
      </c>
      <c r="B13" s="309"/>
      <c r="C13" s="309"/>
      <c r="D13" s="309"/>
      <c r="E13" s="309"/>
      <c r="F13" s="309"/>
      <c r="G13" s="307">
        <v>0.5</v>
      </c>
      <c r="H13" s="307"/>
      <c r="I13" s="307"/>
      <c r="J13" s="307"/>
      <c r="K13" s="307"/>
      <c r="L13" s="307"/>
      <c r="M13" s="307"/>
      <c r="N13" s="307" t="b">
        <f>AND(A13=Berechnungstool!$I$9,'3'!G13=Berechnungstool!$I$10)</f>
        <v>0</v>
      </c>
      <c r="O13" s="307"/>
      <c r="P13" s="307"/>
      <c r="Q13" s="307"/>
      <c r="R13" s="308">
        <v>14.64</v>
      </c>
      <c r="S13" s="308"/>
      <c r="T13" s="308"/>
      <c r="U13" s="305">
        <v>0.316</v>
      </c>
      <c r="V13" s="305"/>
      <c r="W13" s="305"/>
      <c r="X13" s="305">
        <f>R13/(Berechnungstool!$I$13+'3'!U13)*2.78</f>
        <v>71.906713780918722</v>
      </c>
      <c r="Y13" s="305"/>
      <c r="Z13" s="305"/>
      <c r="AA13" s="305"/>
      <c r="AB13" s="305"/>
      <c r="AC13" s="305"/>
      <c r="AH13" s="1"/>
    </row>
    <row r="14" spans="1:34" ht="15" customHeight="1" x14ac:dyDescent="0.25">
      <c r="A14" s="309" t="s">
        <v>2</v>
      </c>
      <c r="B14" s="309"/>
      <c r="C14" s="309"/>
      <c r="D14" s="309"/>
      <c r="E14" s="309"/>
      <c r="F14" s="309"/>
      <c r="G14" s="307">
        <v>1</v>
      </c>
      <c r="H14" s="307"/>
      <c r="I14" s="307"/>
      <c r="J14" s="307"/>
      <c r="K14" s="307"/>
      <c r="L14" s="307"/>
      <c r="M14" s="307"/>
      <c r="N14" s="307" t="b">
        <f>AND(A14=Berechnungstool!$I$9,'3'!G14=Berechnungstool!$I$10)</f>
        <v>0</v>
      </c>
      <c r="O14" s="307"/>
      <c r="P14" s="307"/>
      <c r="Q14" s="307"/>
      <c r="R14" s="308">
        <v>17.8</v>
      </c>
      <c r="S14" s="308"/>
      <c r="T14" s="308"/>
      <c r="U14" s="305">
        <v>0.26300000000000001</v>
      </c>
      <c r="V14" s="305"/>
      <c r="W14" s="305"/>
      <c r="X14" s="305">
        <f>R14/(Berechnungstool!$I$13+'3'!U14)*2.78</f>
        <v>96.46003898635476</v>
      </c>
      <c r="Y14" s="305"/>
      <c r="Z14" s="305"/>
      <c r="AA14" s="305"/>
      <c r="AB14" s="305"/>
      <c r="AC14" s="305"/>
      <c r="AH14" s="1"/>
    </row>
    <row r="15" spans="1:34" ht="15" customHeight="1" x14ac:dyDescent="0.25">
      <c r="A15" s="309" t="s">
        <v>2</v>
      </c>
      <c r="B15" s="309"/>
      <c r="C15" s="309"/>
      <c r="D15" s="309"/>
      <c r="E15" s="309"/>
      <c r="F15" s="309"/>
      <c r="G15" s="307">
        <v>2</v>
      </c>
      <c r="H15" s="307"/>
      <c r="I15" s="307"/>
      <c r="J15" s="307"/>
      <c r="K15" s="307"/>
      <c r="L15" s="307"/>
      <c r="M15" s="307"/>
      <c r="N15" s="307" t="b">
        <f>AND(A15=Berechnungstool!$I$9,'3'!G15=Berechnungstool!$I$10)</f>
        <v>0</v>
      </c>
      <c r="O15" s="307"/>
      <c r="P15" s="307"/>
      <c r="Q15" s="307"/>
      <c r="R15" s="308">
        <v>21.11</v>
      </c>
      <c r="S15" s="308"/>
      <c r="T15" s="308"/>
      <c r="U15" s="305">
        <v>0.23599999999999999</v>
      </c>
      <c r="V15" s="305"/>
      <c r="W15" s="305"/>
      <c r="X15" s="305">
        <f>R15/(Berechnungstool!$I$13+'3'!U15)*2.78</f>
        <v>120.75267489711933</v>
      </c>
      <c r="Y15" s="305"/>
      <c r="Z15" s="305"/>
      <c r="AA15" s="305"/>
      <c r="AB15" s="305"/>
      <c r="AC15" s="305"/>
      <c r="AH15" s="1"/>
    </row>
    <row r="16" spans="1:34" ht="15" customHeight="1" x14ac:dyDescent="0.25">
      <c r="A16" s="309" t="s">
        <v>2</v>
      </c>
      <c r="B16" s="309"/>
      <c r="C16" s="309"/>
      <c r="D16" s="309"/>
      <c r="E16" s="309"/>
      <c r="F16" s="309"/>
      <c r="G16" s="307">
        <v>5</v>
      </c>
      <c r="H16" s="307"/>
      <c r="I16" s="307"/>
      <c r="J16" s="307"/>
      <c r="K16" s="307"/>
      <c r="L16" s="307"/>
      <c r="M16" s="307"/>
      <c r="N16" s="307" t="b">
        <f>AND(A16=Berechnungstool!$I$9,'3'!G16=Berechnungstool!$I$10)</f>
        <v>0</v>
      </c>
      <c r="O16" s="307"/>
      <c r="P16" s="307"/>
      <c r="Q16" s="307"/>
      <c r="R16" s="308">
        <v>25.61</v>
      </c>
      <c r="S16" s="308"/>
      <c r="T16" s="308"/>
      <c r="U16" s="305">
        <v>0.215</v>
      </c>
      <c r="V16" s="305"/>
      <c r="W16" s="305"/>
      <c r="X16" s="305">
        <f>R16/(Berechnungstool!$I$13+'3'!U16)*2.78</f>
        <v>153.10924731182794</v>
      </c>
      <c r="Y16" s="305"/>
      <c r="Z16" s="305"/>
      <c r="AA16" s="305"/>
      <c r="AB16" s="305"/>
      <c r="AC16" s="305"/>
      <c r="AH16" s="1"/>
    </row>
    <row r="17" spans="1:34" ht="15" customHeight="1" x14ac:dyDescent="0.25">
      <c r="A17" s="309" t="s">
        <v>2</v>
      </c>
      <c r="B17" s="309"/>
      <c r="C17" s="309"/>
      <c r="D17" s="309"/>
      <c r="E17" s="309"/>
      <c r="F17" s="309"/>
      <c r="G17" s="307">
        <v>10</v>
      </c>
      <c r="H17" s="307"/>
      <c r="I17" s="307"/>
      <c r="J17" s="307"/>
      <c r="K17" s="307"/>
      <c r="L17" s="307"/>
      <c r="M17" s="307"/>
      <c r="N17" s="307" t="b">
        <f>AND(A17=Berechnungstool!$I$9,'3'!G17=Berechnungstool!$I$10)</f>
        <v>0</v>
      </c>
      <c r="O17" s="307"/>
      <c r="P17" s="307"/>
      <c r="Q17" s="307"/>
      <c r="R17" s="308">
        <v>29.1</v>
      </c>
      <c r="S17" s="308"/>
      <c r="T17" s="308"/>
      <c r="U17" s="305">
        <v>0.20599999999999999</v>
      </c>
      <c r="V17" s="305"/>
      <c r="W17" s="305"/>
      <c r="X17" s="305">
        <f>R17/(Berechnungstool!$I$13+'3'!U17)*2.78</f>
        <v>177.40789473684211</v>
      </c>
      <c r="Y17" s="305"/>
      <c r="Z17" s="305"/>
      <c r="AA17" s="305"/>
      <c r="AB17" s="305"/>
      <c r="AC17" s="305"/>
      <c r="AH17" s="1"/>
    </row>
    <row r="18" spans="1:34" ht="15" customHeight="1" x14ac:dyDescent="0.25">
      <c r="A18" s="309" t="s">
        <v>2</v>
      </c>
      <c r="B18" s="309"/>
      <c r="C18" s="309"/>
      <c r="D18" s="309"/>
      <c r="E18" s="309"/>
      <c r="F18" s="309"/>
      <c r="G18" s="307">
        <v>20</v>
      </c>
      <c r="H18" s="307"/>
      <c r="I18" s="307"/>
      <c r="J18" s="307"/>
      <c r="K18" s="307"/>
      <c r="L18" s="307"/>
      <c r="M18" s="307"/>
      <c r="N18" s="307" t="b">
        <f>AND(A18=Berechnungstool!$I$9,'3'!G18=Berechnungstool!$I$10)</f>
        <v>0</v>
      </c>
      <c r="O18" s="307"/>
      <c r="P18" s="307"/>
      <c r="Q18" s="307"/>
      <c r="R18" s="308">
        <v>32.549999999999997</v>
      </c>
      <c r="S18" s="308"/>
      <c r="T18" s="308"/>
      <c r="U18" s="305">
        <v>0.19800000000000001</v>
      </c>
      <c r="V18" s="305"/>
      <c r="W18" s="305"/>
      <c r="X18" s="305">
        <f>R18/(Berechnungstool!$I$13+'3'!U18)*2.78</f>
        <v>201.98437499999994</v>
      </c>
      <c r="Y18" s="305"/>
      <c r="Z18" s="305"/>
      <c r="AA18" s="305"/>
      <c r="AB18" s="305"/>
      <c r="AC18" s="305"/>
      <c r="AH18" s="1"/>
    </row>
    <row r="19" spans="1:34" ht="15" customHeight="1" x14ac:dyDescent="0.25">
      <c r="A19" s="310" t="s">
        <v>20</v>
      </c>
      <c r="B19" s="311"/>
      <c r="C19" s="311"/>
      <c r="D19" s="311"/>
      <c r="E19" s="311"/>
      <c r="F19" s="312"/>
      <c r="G19" s="307">
        <v>0.5</v>
      </c>
      <c r="H19" s="307"/>
      <c r="I19" s="307"/>
      <c r="J19" s="307"/>
      <c r="K19" s="307"/>
      <c r="L19" s="307"/>
      <c r="M19" s="307"/>
      <c r="N19" s="307" t="b">
        <f>AND(A19=Berechnungstool!$I$9,'3'!G19=Berechnungstool!$I$10)</f>
        <v>0</v>
      </c>
      <c r="O19" s="307"/>
      <c r="P19" s="307"/>
      <c r="Q19" s="307"/>
      <c r="R19" s="308">
        <v>17.010000000000002</v>
      </c>
      <c r="S19" s="308"/>
      <c r="T19" s="308"/>
      <c r="U19" s="305">
        <v>0.2</v>
      </c>
      <c r="V19" s="305"/>
      <c r="W19" s="305"/>
      <c r="X19" s="305">
        <f>R19/(Berechnungstool!$I$13+'3'!U19)*2.78</f>
        <v>105.084</v>
      </c>
      <c r="Y19" s="305"/>
      <c r="Z19" s="305"/>
      <c r="AA19" s="305"/>
      <c r="AB19" s="305"/>
      <c r="AC19" s="305"/>
      <c r="AH19" s="1"/>
    </row>
    <row r="20" spans="1:34" ht="15" customHeight="1" x14ac:dyDescent="0.25">
      <c r="A20" s="310" t="s">
        <v>20</v>
      </c>
      <c r="B20" s="311"/>
      <c r="C20" s="311"/>
      <c r="D20" s="311"/>
      <c r="E20" s="311"/>
      <c r="F20" s="312"/>
      <c r="G20" s="307">
        <v>1</v>
      </c>
      <c r="H20" s="307"/>
      <c r="I20" s="307"/>
      <c r="J20" s="307"/>
      <c r="K20" s="307"/>
      <c r="L20" s="307"/>
      <c r="M20" s="307"/>
      <c r="N20" s="307" t="b">
        <f>AND(A20=Berechnungstool!$I$9,'3'!G20=Berechnungstool!$I$10)</f>
        <v>0</v>
      </c>
      <c r="O20" s="307"/>
      <c r="P20" s="307"/>
      <c r="Q20" s="307"/>
      <c r="R20" s="308">
        <v>23.61</v>
      </c>
      <c r="S20" s="308"/>
      <c r="T20" s="308"/>
      <c r="U20" s="305">
        <v>0.219</v>
      </c>
      <c r="V20" s="305"/>
      <c r="W20" s="305"/>
      <c r="X20" s="305">
        <f>R20/(Berechnungstool!$I$13+'3'!U20)*2.78</f>
        <v>139.94840085287848</v>
      </c>
      <c r="Y20" s="305"/>
      <c r="Z20" s="305"/>
      <c r="AA20" s="305"/>
      <c r="AB20" s="305"/>
      <c r="AC20" s="305"/>
      <c r="AH20" s="1"/>
    </row>
    <row r="21" spans="1:34" ht="15" customHeight="1" x14ac:dyDescent="0.25">
      <c r="A21" s="310" t="s">
        <v>20</v>
      </c>
      <c r="B21" s="311"/>
      <c r="C21" s="311"/>
      <c r="D21" s="311"/>
      <c r="E21" s="311"/>
      <c r="F21" s="312"/>
      <c r="G21" s="307">
        <v>2</v>
      </c>
      <c r="H21" s="307"/>
      <c r="I21" s="307"/>
      <c r="J21" s="307"/>
      <c r="K21" s="307"/>
      <c r="L21" s="307"/>
      <c r="M21" s="307"/>
      <c r="N21" s="307" t="b">
        <f>AND(A21=Berechnungstool!$I$9,'3'!G21=Berechnungstool!$I$10)</f>
        <v>0</v>
      </c>
      <c r="O21" s="307"/>
      <c r="P21" s="307"/>
      <c r="Q21" s="307"/>
      <c r="R21" s="308">
        <v>30.23</v>
      </c>
      <c r="S21" s="308"/>
      <c r="T21" s="308"/>
      <c r="U21" s="305">
        <v>0.23100000000000001</v>
      </c>
      <c r="V21" s="305"/>
      <c r="W21" s="305"/>
      <c r="X21" s="305">
        <f>R21/(Berechnungstool!$I$13+'3'!U21)*2.78</f>
        <v>174.71808731808733</v>
      </c>
      <c r="Y21" s="305"/>
      <c r="Z21" s="305"/>
      <c r="AA21" s="305"/>
      <c r="AB21" s="305"/>
      <c r="AC21" s="305"/>
      <c r="AH21" s="1"/>
    </row>
    <row r="22" spans="1:34" ht="15" customHeight="1" x14ac:dyDescent="0.25">
      <c r="A22" s="310" t="s">
        <v>20</v>
      </c>
      <c r="B22" s="311"/>
      <c r="C22" s="311"/>
      <c r="D22" s="311"/>
      <c r="E22" s="311"/>
      <c r="F22" s="312"/>
      <c r="G22" s="307">
        <v>5</v>
      </c>
      <c r="H22" s="307"/>
      <c r="I22" s="307"/>
      <c r="J22" s="307"/>
      <c r="K22" s="307"/>
      <c r="L22" s="307"/>
      <c r="M22" s="307"/>
      <c r="N22" s="307" t="b">
        <f>AND(A22=Berechnungstool!$I$9,'3'!G22=Berechnungstool!$I$10)</f>
        <v>0</v>
      </c>
      <c r="O22" s="307"/>
      <c r="P22" s="307"/>
      <c r="Q22" s="307"/>
      <c r="R22" s="308">
        <v>39.020000000000003</v>
      </c>
      <c r="S22" s="308"/>
      <c r="T22" s="308"/>
      <c r="U22" s="305">
        <v>0.24099999999999999</v>
      </c>
      <c r="V22" s="305"/>
      <c r="W22" s="305"/>
      <c r="X22" s="305">
        <f>R22/(Berechnungstool!$I$13+'3'!U22)*2.78</f>
        <v>220.92790224032589</v>
      </c>
      <c r="Y22" s="305"/>
      <c r="Z22" s="305"/>
      <c r="AA22" s="305"/>
      <c r="AB22" s="305"/>
      <c r="AC22" s="305"/>
      <c r="AH22" s="1"/>
    </row>
    <row r="23" spans="1:34" ht="15" customHeight="1" x14ac:dyDescent="0.25">
      <c r="A23" s="310" t="s">
        <v>20</v>
      </c>
      <c r="B23" s="311"/>
      <c r="C23" s="311"/>
      <c r="D23" s="311"/>
      <c r="E23" s="311"/>
      <c r="F23" s="312"/>
      <c r="G23" s="307">
        <v>10</v>
      </c>
      <c r="H23" s="307"/>
      <c r="I23" s="307"/>
      <c r="J23" s="307"/>
      <c r="K23" s="307"/>
      <c r="L23" s="307"/>
      <c r="M23" s="307"/>
      <c r="N23" s="307" t="b">
        <f>AND(A23=Berechnungstool!$I$9,'3'!G23=Berechnungstool!$I$10)</f>
        <v>0</v>
      </c>
      <c r="O23" s="307"/>
      <c r="P23" s="307"/>
      <c r="Q23" s="307"/>
      <c r="R23" s="308">
        <v>45.66</v>
      </c>
      <c r="S23" s="308"/>
      <c r="T23" s="308"/>
      <c r="U23" s="305">
        <v>0.247</v>
      </c>
      <c r="V23" s="305"/>
      <c r="W23" s="305"/>
      <c r="X23" s="305">
        <f>R23/(Berechnungstool!$I$13+'3'!U23)*2.78</f>
        <v>255.40201207243456</v>
      </c>
      <c r="Y23" s="305"/>
      <c r="Z23" s="305"/>
      <c r="AA23" s="305"/>
      <c r="AB23" s="305"/>
      <c r="AC23" s="305"/>
      <c r="AH23" s="1"/>
    </row>
    <row r="24" spans="1:34" ht="15" customHeight="1" x14ac:dyDescent="0.25">
      <c r="A24" s="310" t="s">
        <v>20</v>
      </c>
      <c r="B24" s="311"/>
      <c r="C24" s="311"/>
      <c r="D24" s="311"/>
      <c r="E24" s="311"/>
      <c r="F24" s="312"/>
      <c r="G24" s="307">
        <v>20</v>
      </c>
      <c r="H24" s="307"/>
      <c r="I24" s="307"/>
      <c r="J24" s="307"/>
      <c r="K24" s="307"/>
      <c r="L24" s="307"/>
      <c r="M24" s="307"/>
      <c r="N24" s="307" t="b">
        <f>AND(A24=Berechnungstool!$I$9,'3'!G24=Berechnungstool!$I$10)</f>
        <v>0</v>
      </c>
      <c r="O24" s="307"/>
      <c r="P24" s="307"/>
      <c r="Q24" s="307"/>
      <c r="R24" s="308">
        <v>52.29</v>
      </c>
      <c r="S24" s="308"/>
      <c r="T24" s="308"/>
      <c r="U24" s="305">
        <v>0.251</v>
      </c>
      <c r="V24" s="305"/>
      <c r="W24" s="305"/>
      <c r="X24" s="305">
        <f>R24/(Berechnungstool!$I$13+'3'!U24)*2.78</f>
        <v>290.15209580838319</v>
      </c>
      <c r="Y24" s="305"/>
      <c r="Z24" s="305"/>
      <c r="AA24" s="305"/>
      <c r="AB24" s="305"/>
      <c r="AC24" s="305"/>
      <c r="AH24" s="1"/>
    </row>
    <row r="25" spans="1:34" ht="15" customHeight="1" x14ac:dyDescent="0.25">
      <c r="A25" s="309" t="s">
        <v>3</v>
      </c>
      <c r="B25" s="309"/>
      <c r="C25" s="309"/>
      <c r="D25" s="309"/>
      <c r="E25" s="309"/>
      <c r="F25" s="309"/>
      <c r="G25" s="307">
        <v>0.5</v>
      </c>
      <c r="H25" s="307"/>
      <c r="I25" s="307"/>
      <c r="J25" s="307"/>
      <c r="K25" s="307"/>
      <c r="L25" s="307"/>
      <c r="M25" s="307"/>
      <c r="N25" s="307" t="b">
        <f>AND(A25=Berechnungstool!$I$9,'3'!G25=Berechnungstool!$I$10)</f>
        <v>0</v>
      </c>
      <c r="O25" s="307"/>
      <c r="P25" s="307"/>
      <c r="Q25" s="307"/>
      <c r="R25" s="308">
        <v>20.22</v>
      </c>
      <c r="S25" s="308"/>
      <c r="T25" s="308"/>
      <c r="U25" s="305">
        <v>0.19800000000000001</v>
      </c>
      <c r="V25" s="305"/>
      <c r="W25" s="305"/>
      <c r="X25" s="305">
        <f>R25/(Berechnungstool!$I$13+'3'!U25)*2.78</f>
        <v>125.47232142857142</v>
      </c>
      <c r="Y25" s="305"/>
      <c r="Z25" s="305"/>
      <c r="AA25" s="305"/>
      <c r="AB25" s="305"/>
      <c r="AC25" s="305"/>
      <c r="AH25" s="1"/>
    </row>
    <row r="26" spans="1:34" ht="15" customHeight="1" x14ac:dyDescent="0.25">
      <c r="A26" s="309" t="s">
        <v>3</v>
      </c>
      <c r="B26" s="309"/>
      <c r="C26" s="309"/>
      <c r="D26" s="309"/>
      <c r="E26" s="309"/>
      <c r="F26" s="309"/>
      <c r="G26" s="307">
        <v>1</v>
      </c>
      <c r="H26" s="307"/>
      <c r="I26" s="307"/>
      <c r="J26" s="307"/>
      <c r="K26" s="307"/>
      <c r="L26" s="307"/>
      <c r="M26" s="307"/>
      <c r="N26" s="307" t="b">
        <f>AND(A26=Berechnungstool!$I$9,'3'!G26=Berechnungstool!$I$10)</f>
        <v>0</v>
      </c>
      <c r="O26" s="307"/>
      <c r="P26" s="307"/>
      <c r="Q26" s="307"/>
      <c r="R26" s="308">
        <v>28.6</v>
      </c>
      <c r="S26" s="308"/>
      <c r="T26" s="308"/>
      <c r="U26" s="305">
        <v>0.224</v>
      </c>
      <c r="V26" s="305"/>
      <c r="W26" s="305"/>
      <c r="X26" s="305">
        <f>R26/(Berechnungstool!$I$13+'3'!U26)*2.78</f>
        <v>167.73839662447259</v>
      </c>
      <c r="Y26" s="305"/>
      <c r="Z26" s="305"/>
      <c r="AA26" s="305"/>
      <c r="AB26" s="305"/>
      <c r="AC26" s="305"/>
      <c r="AH26" s="1"/>
    </row>
    <row r="27" spans="1:34" ht="15" customHeight="1" x14ac:dyDescent="0.25">
      <c r="A27" s="309" t="s">
        <v>3</v>
      </c>
      <c r="B27" s="309"/>
      <c r="C27" s="309"/>
      <c r="D27" s="309"/>
      <c r="E27" s="309"/>
      <c r="F27" s="309"/>
      <c r="G27" s="307">
        <v>2</v>
      </c>
      <c r="H27" s="307"/>
      <c r="I27" s="307"/>
      <c r="J27" s="307"/>
      <c r="K27" s="307"/>
      <c r="L27" s="307"/>
      <c r="M27" s="307"/>
      <c r="N27" s="307" t="b">
        <f>AND(A27=Berechnungstool!$I$9,'3'!G27=Berechnungstool!$I$10)</f>
        <v>0</v>
      </c>
      <c r="O27" s="307"/>
      <c r="P27" s="307"/>
      <c r="Q27" s="307"/>
      <c r="R27" s="308">
        <v>37.020000000000003</v>
      </c>
      <c r="S27" s="308"/>
      <c r="T27" s="308"/>
      <c r="U27" s="305">
        <v>0.24099999999999999</v>
      </c>
      <c r="V27" s="305"/>
      <c r="W27" s="305"/>
      <c r="X27" s="305">
        <f>R27/(Berechnungstool!$I$13+'3'!U27)*2.78</f>
        <v>209.6040733197556</v>
      </c>
      <c r="Y27" s="305"/>
      <c r="Z27" s="305"/>
      <c r="AA27" s="305"/>
      <c r="AB27" s="305"/>
      <c r="AC27" s="305"/>
      <c r="AH27" s="1"/>
    </row>
    <row r="28" spans="1:34" ht="15" customHeight="1" x14ac:dyDescent="0.25">
      <c r="A28" s="309" t="s">
        <v>3</v>
      </c>
      <c r="B28" s="309"/>
      <c r="C28" s="309"/>
      <c r="D28" s="309"/>
      <c r="E28" s="309"/>
      <c r="F28" s="309"/>
      <c r="G28" s="307">
        <v>5</v>
      </c>
      <c r="H28" s="307"/>
      <c r="I28" s="307"/>
      <c r="J28" s="307"/>
      <c r="K28" s="307"/>
      <c r="L28" s="307"/>
      <c r="M28" s="307"/>
      <c r="N28" s="307" t="b">
        <f>AND(A28=Berechnungstool!$I$9,'3'!G28=Berechnungstool!$I$10)</f>
        <v>0</v>
      </c>
      <c r="O28" s="307"/>
      <c r="P28" s="307"/>
      <c r="Q28" s="307"/>
      <c r="R28" s="308">
        <v>48.33</v>
      </c>
      <c r="S28" s="308"/>
      <c r="T28" s="308"/>
      <c r="U28" s="305">
        <v>0.25700000000000001</v>
      </c>
      <c r="V28" s="305"/>
      <c r="W28" s="305"/>
      <c r="X28" s="305">
        <f>R28/(Berechnungstool!$I$13+'3'!U28)*2.78</f>
        <v>265.00473372781062</v>
      </c>
      <c r="Y28" s="305"/>
      <c r="Z28" s="305"/>
      <c r="AA28" s="305"/>
      <c r="AB28" s="305"/>
      <c r="AC28" s="305"/>
      <c r="AH28" s="1"/>
    </row>
    <row r="29" spans="1:34" ht="15" customHeight="1" x14ac:dyDescent="0.25">
      <c r="A29" s="309" t="s">
        <v>3</v>
      </c>
      <c r="B29" s="309"/>
      <c r="C29" s="309"/>
      <c r="D29" s="309"/>
      <c r="E29" s="309"/>
      <c r="F29" s="309"/>
      <c r="G29" s="307">
        <v>10</v>
      </c>
      <c r="H29" s="307"/>
      <c r="I29" s="307"/>
      <c r="J29" s="307"/>
      <c r="K29" s="307"/>
      <c r="L29" s="307"/>
      <c r="M29" s="307"/>
      <c r="N29" s="307" t="b">
        <f>AND(A29=Berechnungstool!$I$9,'3'!G29=Berechnungstool!$I$10)</f>
        <v>0</v>
      </c>
      <c r="O29" s="307"/>
      <c r="P29" s="307"/>
      <c r="Q29" s="307"/>
      <c r="R29" s="308">
        <v>56.76</v>
      </c>
      <c r="S29" s="308"/>
      <c r="T29" s="308"/>
      <c r="U29" s="305">
        <v>0.26400000000000001</v>
      </c>
      <c r="V29" s="305"/>
      <c r="W29" s="305"/>
      <c r="X29" s="305">
        <f>R29/(Berechnungstool!$I$13+'3'!U29)*2.78</f>
        <v>306.98988326848246</v>
      </c>
      <c r="Y29" s="305"/>
      <c r="Z29" s="305"/>
      <c r="AA29" s="305"/>
      <c r="AB29" s="305"/>
      <c r="AC29" s="305"/>
      <c r="AH29" s="1"/>
    </row>
    <row r="30" spans="1:34" ht="15" customHeight="1" x14ac:dyDescent="0.25">
      <c r="A30" s="309" t="s">
        <v>3</v>
      </c>
      <c r="B30" s="309"/>
      <c r="C30" s="309"/>
      <c r="D30" s="309"/>
      <c r="E30" s="309"/>
      <c r="F30" s="309"/>
      <c r="G30" s="307">
        <v>20</v>
      </c>
      <c r="H30" s="307"/>
      <c r="I30" s="307"/>
      <c r="J30" s="307"/>
      <c r="K30" s="307"/>
      <c r="L30" s="307"/>
      <c r="M30" s="307"/>
      <c r="N30" s="307" t="b">
        <f>AND(A30=Berechnungstool!$I$9,'3'!G30=Berechnungstool!$I$10)</f>
        <v>0</v>
      </c>
      <c r="O30" s="307"/>
      <c r="P30" s="307"/>
      <c r="Q30" s="307"/>
      <c r="R30" s="308">
        <v>67.209999999999994</v>
      </c>
      <c r="S30" s="308"/>
      <c r="T30" s="308"/>
      <c r="U30" s="305">
        <v>0.28399999999999997</v>
      </c>
      <c r="V30" s="305"/>
      <c r="W30" s="305"/>
      <c r="X30" s="305">
        <f>R30/(Berechnungstool!$I$13+'3'!U30)*2.78</f>
        <v>349.89475655430704</v>
      </c>
      <c r="Y30" s="305"/>
      <c r="Z30" s="305"/>
      <c r="AA30" s="305"/>
      <c r="AB30" s="305"/>
      <c r="AC30" s="305"/>
      <c r="AH30" s="1"/>
    </row>
    <row r="31" spans="1:34" ht="1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H31" s="1"/>
    </row>
    <row r="32" spans="1:34" ht="1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H32" s="1"/>
    </row>
    <row r="33" spans="1:34" ht="1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H33" s="1"/>
    </row>
    <row r="34" spans="1:34" ht="1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H34" s="1"/>
    </row>
    <row r="35" spans="1:34" ht="1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H35" s="1"/>
    </row>
    <row r="36" spans="1:34" ht="1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H36" s="1"/>
    </row>
    <row r="37" spans="1:34" ht="1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H37" s="1"/>
    </row>
    <row r="38" spans="1:34" ht="1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H38" s="1"/>
    </row>
    <row r="39" spans="1:34" ht="1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H39" s="1"/>
    </row>
    <row r="40" spans="1:34" ht="1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H40" s="1"/>
    </row>
    <row r="41" spans="1:34" ht="1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H41" s="1"/>
    </row>
    <row r="42" spans="1:34" ht="1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H42" s="1"/>
    </row>
    <row r="43" spans="1:34" ht="1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H43" s="1"/>
    </row>
    <row r="44" spans="1:34" ht="1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H44" s="1"/>
    </row>
    <row r="45" spans="1:34" ht="1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H45" s="1"/>
    </row>
    <row r="46" spans="1:34" ht="1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H46" s="1"/>
    </row>
    <row r="47" spans="1:34" ht="1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H47" s="1"/>
    </row>
    <row r="48" spans="1:34" ht="1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H48" s="1"/>
    </row>
    <row r="49" spans="1:34" ht="1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H49" s="1"/>
    </row>
    <row r="50" spans="1:34" ht="1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H50" s="1"/>
    </row>
    <row r="51" spans="1:34" ht="15" hidden="1"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H51" s="1"/>
    </row>
    <row r="52" spans="1:34" ht="15" hidden="1"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H52" s="1"/>
    </row>
    <row r="53" spans="1:34" ht="15" hidden="1"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row>
    <row r="54" spans="1:34" ht="15" hidden="1"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row>
    <row r="55" spans="1:34" ht="15" hidden="1"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56" spans="1:34" ht="15" hidden="1"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row>
    <row r="57" spans="1:34" ht="15" hidden="1"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34" ht="15" hidden="1"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row>
  </sheetData>
  <sheetProtection algorithmName="SHA-512" hashValue="bPocUHDAC5aAEkc5QFNLCrQBUbdZMtjmA1/eodLb2sHAnsO+5kIT0lFk+xBY/vSNuGoCdfJHKIILrfjdjVUXwQ==" saltValue="egnfIfN9TPuRQ7c0RVeonA==" spinCount="100000" sheet="1" objects="1" scenarios="1"/>
  <mergeCells count="159">
    <mergeCell ref="N1:S1"/>
    <mergeCell ref="AA1:AF1"/>
    <mergeCell ref="A1:F1"/>
    <mergeCell ref="N19:Q19"/>
    <mergeCell ref="N20:Q20"/>
    <mergeCell ref="N21:Q21"/>
    <mergeCell ref="N22:Q22"/>
    <mergeCell ref="N23:Q23"/>
    <mergeCell ref="N24:Q24"/>
    <mergeCell ref="R19:T19"/>
    <mergeCell ref="R20:T20"/>
    <mergeCell ref="R21:T21"/>
    <mergeCell ref="R22:T22"/>
    <mergeCell ref="R23:T23"/>
    <mergeCell ref="R24:T24"/>
    <mergeCell ref="A12:F12"/>
    <mergeCell ref="G19:M19"/>
    <mergeCell ref="G20:M20"/>
    <mergeCell ref="G21:M21"/>
    <mergeCell ref="G22:M22"/>
    <mergeCell ref="G23:M23"/>
    <mergeCell ref="G24:M24"/>
    <mergeCell ref="A19:F19"/>
    <mergeCell ref="A20:F20"/>
    <mergeCell ref="A21:F21"/>
    <mergeCell ref="A22:F22"/>
    <mergeCell ref="A23:F23"/>
    <mergeCell ref="A24:F24"/>
    <mergeCell ref="A30:F30"/>
    <mergeCell ref="A15:F15"/>
    <mergeCell ref="A16:F16"/>
    <mergeCell ref="A17:F17"/>
    <mergeCell ref="A18:F18"/>
    <mergeCell ref="A25:F25"/>
    <mergeCell ref="A26:F26"/>
    <mergeCell ref="G27:M27"/>
    <mergeCell ref="G28:M28"/>
    <mergeCell ref="G29:M29"/>
    <mergeCell ref="G30:M30"/>
    <mergeCell ref="G15:M15"/>
    <mergeCell ref="G16:M16"/>
    <mergeCell ref="G17:M17"/>
    <mergeCell ref="G18:M18"/>
    <mergeCell ref="G25:M25"/>
    <mergeCell ref="G26:M26"/>
    <mergeCell ref="R7:T7"/>
    <mergeCell ref="R8:T8"/>
    <mergeCell ref="R9:T9"/>
    <mergeCell ref="R10:T10"/>
    <mergeCell ref="R11:T11"/>
    <mergeCell ref="R12:T12"/>
    <mergeCell ref="A27:F27"/>
    <mergeCell ref="A28:F28"/>
    <mergeCell ref="A29:F29"/>
    <mergeCell ref="A13:F13"/>
    <mergeCell ref="A14:F14"/>
    <mergeCell ref="G7:M7"/>
    <mergeCell ref="G8:M8"/>
    <mergeCell ref="G9:M9"/>
    <mergeCell ref="G10:M10"/>
    <mergeCell ref="G11:M11"/>
    <mergeCell ref="G12:M12"/>
    <mergeCell ref="G13:M13"/>
    <mergeCell ref="G14:M14"/>
    <mergeCell ref="A7:F7"/>
    <mergeCell ref="A8:F8"/>
    <mergeCell ref="A9:F9"/>
    <mergeCell ref="A10:F10"/>
    <mergeCell ref="A11:F11"/>
    <mergeCell ref="R25:T25"/>
    <mergeCell ref="R26:T26"/>
    <mergeCell ref="R27:T27"/>
    <mergeCell ref="R28:T28"/>
    <mergeCell ref="R29:T29"/>
    <mergeCell ref="R30:T30"/>
    <mergeCell ref="R13:T13"/>
    <mergeCell ref="R14:T14"/>
    <mergeCell ref="R15:T15"/>
    <mergeCell ref="R16:T16"/>
    <mergeCell ref="R17:T17"/>
    <mergeCell ref="R18:T18"/>
    <mergeCell ref="U28:W28"/>
    <mergeCell ref="U29:W29"/>
    <mergeCell ref="U30:W30"/>
    <mergeCell ref="U13:W13"/>
    <mergeCell ref="U14:W14"/>
    <mergeCell ref="U15:W15"/>
    <mergeCell ref="U16:W16"/>
    <mergeCell ref="U17:W17"/>
    <mergeCell ref="U18:W18"/>
    <mergeCell ref="U19:W19"/>
    <mergeCell ref="U20:W20"/>
    <mergeCell ref="U21:W21"/>
    <mergeCell ref="U22:W22"/>
    <mergeCell ref="U23:W23"/>
    <mergeCell ref="U24:W24"/>
    <mergeCell ref="A5:F5"/>
    <mergeCell ref="G5:M5"/>
    <mergeCell ref="R5:T5"/>
    <mergeCell ref="U5:W5"/>
    <mergeCell ref="N5:Q5"/>
    <mergeCell ref="X5:AC5"/>
    <mergeCell ref="N29:Q29"/>
    <mergeCell ref="N30:Q30"/>
    <mergeCell ref="N11:Q11"/>
    <mergeCell ref="N12:Q12"/>
    <mergeCell ref="N13:Q13"/>
    <mergeCell ref="N14:Q14"/>
    <mergeCell ref="N15:Q15"/>
    <mergeCell ref="N16:Q16"/>
    <mergeCell ref="N25:Q25"/>
    <mergeCell ref="N26:Q26"/>
    <mergeCell ref="N27:Q27"/>
    <mergeCell ref="N28:Q28"/>
    <mergeCell ref="N17:Q17"/>
    <mergeCell ref="N18:Q18"/>
    <mergeCell ref="N7:Q7"/>
    <mergeCell ref="N8:Q8"/>
    <mergeCell ref="N9:Q9"/>
    <mergeCell ref="N10:Q10"/>
    <mergeCell ref="X28:AC28"/>
    <mergeCell ref="X29:AC29"/>
    <mergeCell ref="X30:AC30"/>
    <mergeCell ref="X13:AC13"/>
    <mergeCell ref="X14:AC14"/>
    <mergeCell ref="X15:AC15"/>
    <mergeCell ref="X16:AC16"/>
    <mergeCell ref="X17:AC17"/>
    <mergeCell ref="X18:AC18"/>
    <mergeCell ref="X19:AC19"/>
    <mergeCell ref="X20:AC20"/>
    <mergeCell ref="X21:AC21"/>
    <mergeCell ref="X22:AC22"/>
    <mergeCell ref="X23:AC23"/>
    <mergeCell ref="X24:AC24"/>
    <mergeCell ref="A6:F6"/>
    <mergeCell ref="G6:M6"/>
    <mergeCell ref="N6:Q6"/>
    <mergeCell ref="R6:T6"/>
    <mergeCell ref="U6:W6"/>
    <mergeCell ref="X6:AC6"/>
    <mergeCell ref="X25:AC25"/>
    <mergeCell ref="X26:AC26"/>
    <mergeCell ref="X27:AC27"/>
    <mergeCell ref="X7:AC7"/>
    <mergeCell ref="X8:AC8"/>
    <mergeCell ref="X9:AC9"/>
    <mergeCell ref="X10:AC10"/>
    <mergeCell ref="X11:AC11"/>
    <mergeCell ref="X12:AC12"/>
    <mergeCell ref="U25:W25"/>
    <mergeCell ref="U26:W26"/>
    <mergeCell ref="U27:W27"/>
    <mergeCell ref="U7:W7"/>
    <mergeCell ref="U8:W8"/>
    <mergeCell ref="U9:W9"/>
    <mergeCell ref="U10:W10"/>
    <mergeCell ref="U11:W11"/>
    <mergeCell ref="U12:W12"/>
  </mergeCells>
  <conditionalFormatting sqref="N7:Q30">
    <cfRule type="cellIs" dxfId="18" priority="1" operator="equal">
      <formula>TRUE</formula>
    </cfRule>
  </conditionalFormatting>
  <hyperlinks>
    <hyperlink ref="N1:S1" location="INDEX!A1" display="🏠 INDEX"/>
    <hyperlink ref="A1:F1" location="'2'!A1" display="2 ◀"/>
    <hyperlink ref="AA1:AF1" location="'4'!A1" display="▶ 4"/>
  </hyperlinks>
  <pageMargins left="0.7" right="0.7" top="0.78740157499999996" bottom="0.78740157499999996" header="0.3" footer="0.3"/>
  <pageSetup paperSize="9" orientation="portrait" horizontalDpi="90" verticalDpi="90" r:id="rId1"/>
  <headerFooter>
    <oddHeader>&amp;L&amp;"-,Standard"3 - Regenintensität</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'1'!$G$4:$G$9</xm:f>
          </x14:formula1>
          <xm:sqref>G7:M30</xm:sqref>
        </x14:dataValidation>
        <x14:dataValidation type="list" allowBlank="1" showInputMessage="1" showErrorMessage="1">
          <x14:formula1>
            <xm:f>'1'!$A$4:$A$7</xm:f>
          </x14:formula1>
          <xm:sqref>A7:A53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AF55"/>
  <sheetViews>
    <sheetView view="pageLayout" zoomScaleNormal="100" workbookViewId="0">
      <selection activeCell="AA1" sqref="AA1:AF1"/>
    </sheetView>
  </sheetViews>
  <sheetFormatPr baseColWidth="10" defaultColWidth="0" defaultRowHeight="0" customHeight="1" zeroHeight="1" x14ac:dyDescent="0.25"/>
  <cols>
    <col min="1" max="32" width="2.375" style="1" customWidth="1"/>
    <col min="33" max="16384" width="2.375" style="1" hidden="1"/>
  </cols>
  <sheetData>
    <row r="1" spans="1:32" ht="15" customHeight="1" x14ac:dyDescent="0.25">
      <c r="A1" s="282" t="s">
        <v>177</v>
      </c>
      <c r="B1" s="282"/>
      <c r="C1" s="282"/>
      <c r="D1" s="282"/>
      <c r="E1" s="282"/>
      <c r="F1" s="282"/>
      <c r="G1" s="2"/>
      <c r="H1" s="2"/>
      <c r="I1" s="2"/>
      <c r="J1" s="2"/>
      <c r="K1" s="2"/>
      <c r="L1" s="2"/>
      <c r="M1" s="2"/>
      <c r="N1" s="282" t="s">
        <v>170</v>
      </c>
      <c r="O1" s="282"/>
      <c r="P1" s="282"/>
      <c r="Q1" s="282"/>
      <c r="R1" s="282"/>
      <c r="S1" s="282"/>
      <c r="T1" s="2"/>
      <c r="U1" s="2"/>
      <c r="V1" s="2"/>
      <c r="W1" s="2"/>
      <c r="X1" s="2"/>
      <c r="Y1" s="2"/>
      <c r="Z1" s="2"/>
      <c r="AA1" s="282" t="s">
        <v>176</v>
      </c>
      <c r="AB1" s="282"/>
      <c r="AC1" s="282"/>
      <c r="AD1" s="282"/>
      <c r="AE1" s="282"/>
      <c r="AF1" s="282"/>
    </row>
    <row r="2" spans="1:32" ht="15" customHeight="1" x14ac:dyDescent="0.25"/>
    <row r="3" spans="1:32" ht="15" customHeight="1" x14ac:dyDescent="0.25">
      <c r="A3" s="1" t="s">
        <v>7</v>
      </c>
      <c r="I3" s="49" t="s">
        <v>45</v>
      </c>
    </row>
    <row r="4" spans="1:32" ht="15" customHeight="1" x14ac:dyDescent="0.25">
      <c r="A4" s="1" t="s">
        <v>46</v>
      </c>
      <c r="I4" s="1" t="s">
        <v>48</v>
      </c>
    </row>
    <row r="5" spans="1:32" ht="15" customHeight="1" x14ac:dyDescent="0.25">
      <c r="I5" s="1" t="s">
        <v>47</v>
      </c>
    </row>
    <row r="6" spans="1:32" ht="15" customHeight="1" x14ac:dyDescent="0.25"/>
    <row r="7" spans="1:32" ht="15" customHeight="1" x14ac:dyDescent="0.25">
      <c r="A7" s="306" t="s">
        <v>18</v>
      </c>
      <c r="B7" s="306"/>
      <c r="C7" s="306"/>
      <c r="D7" s="306"/>
      <c r="E7" s="306"/>
      <c r="F7" s="306"/>
      <c r="G7" s="304" t="s">
        <v>12</v>
      </c>
      <c r="H7" s="304"/>
      <c r="I7" s="304"/>
      <c r="J7" s="304"/>
      <c r="K7" s="304" t="s">
        <v>54</v>
      </c>
      <c r="L7" s="304"/>
      <c r="M7" s="304"/>
      <c r="N7" s="304"/>
      <c r="O7" s="304" t="s">
        <v>51</v>
      </c>
      <c r="P7" s="304"/>
      <c r="Q7" s="304"/>
      <c r="R7" s="304"/>
      <c r="S7" s="304"/>
      <c r="T7" s="304"/>
      <c r="U7" s="304"/>
      <c r="V7" s="304"/>
    </row>
    <row r="8" spans="1:32" ht="15" customHeight="1" x14ac:dyDescent="0.25">
      <c r="A8" s="299" t="s">
        <v>15</v>
      </c>
      <c r="B8" s="300"/>
      <c r="C8" s="300"/>
      <c r="D8" s="300"/>
      <c r="E8" s="300"/>
      <c r="F8" s="303"/>
      <c r="G8" s="304" t="s">
        <v>15</v>
      </c>
      <c r="H8" s="304"/>
      <c r="I8" s="304"/>
      <c r="J8" s="304"/>
      <c r="K8" s="304" t="s">
        <v>57</v>
      </c>
      <c r="L8" s="304"/>
      <c r="M8" s="304"/>
      <c r="N8" s="304"/>
      <c r="O8" s="304" t="s">
        <v>56</v>
      </c>
      <c r="P8" s="304"/>
      <c r="Q8" s="304"/>
      <c r="R8" s="304"/>
      <c r="S8" s="304"/>
      <c r="T8" s="304"/>
      <c r="U8" s="304"/>
      <c r="V8" s="304"/>
    </row>
    <row r="9" spans="1:32" ht="15" customHeight="1" x14ac:dyDescent="0.25">
      <c r="A9" s="209" t="s">
        <v>42</v>
      </c>
      <c r="B9" s="209"/>
      <c r="C9" s="209"/>
      <c r="D9" s="209"/>
      <c r="E9" s="209"/>
      <c r="F9" s="209"/>
      <c r="G9" s="254" t="b">
        <f>IF(A9=Berechnungstool!$I$11,TRUE,FALSE)</f>
        <v>0</v>
      </c>
      <c r="H9" s="254"/>
      <c r="I9" s="254"/>
      <c r="J9" s="254"/>
      <c r="K9" s="313">
        <v>0</v>
      </c>
      <c r="L9" s="313"/>
      <c r="M9" s="313"/>
      <c r="N9" s="313"/>
      <c r="O9" s="313">
        <f>K9*Berechnungstool!$I$5</f>
        <v>0</v>
      </c>
      <c r="P9" s="313"/>
      <c r="Q9" s="313"/>
      <c r="R9" s="313"/>
      <c r="S9" s="313"/>
      <c r="T9" s="313"/>
      <c r="U9" s="313"/>
      <c r="V9" s="313"/>
    </row>
    <row r="10" spans="1:32" ht="15" customHeight="1" x14ac:dyDescent="0.25">
      <c r="A10" s="209" t="s">
        <v>39</v>
      </c>
      <c r="B10" s="209"/>
      <c r="C10" s="209"/>
      <c r="D10" s="209"/>
      <c r="E10" s="209"/>
      <c r="F10" s="209"/>
      <c r="G10" s="254" t="b">
        <f>IF(A10=Berechnungstool!$I$11,TRUE,FALSE)</f>
        <v>0</v>
      </c>
      <c r="H10" s="254"/>
      <c r="I10" s="254"/>
      <c r="J10" s="254"/>
      <c r="K10" s="254">
        <v>0.01</v>
      </c>
      <c r="L10" s="254"/>
      <c r="M10" s="254"/>
      <c r="N10" s="254"/>
      <c r="O10" s="313">
        <f>K10*Berechnungstool!$I$5</f>
        <v>0</v>
      </c>
      <c r="P10" s="313"/>
      <c r="Q10" s="313"/>
      <c r="R10" s="313"/>
      <c r="S10" s="313"/>
      <c r="T10" s="313"/>
      <c r="U10" s="313"/>
      <c r="V10" s="313"/>
    </row>
    <row r="11" spans="1:32" ht="15" customHeight="1" x14ac:dyDescent="0.25">
      <c r="A11" s="209" t="s">
        <v>40</v>
      </c>
      <c r="B11" s="209"/>
      <c r="C11" s="209"/>
      <c r="D11" s="209"/>
      <c r="E11" s="209"/>
      <c r="F11" s="209"/>
      <c r="G11" s="254" t="b">
        <f>IF(A11=Berechnungstool!$I$11,TRUE,FALSE)</f>
        <v>0</v>
      </c>
      <c r="H11" s="254"/>
      <c r="I11" s="254"/>
      <c r="J11" s="254"/>
      <c r="K11" s="254">
        <v>0.02</v>
      </c>
      <c r="L11" s="254"/>
      <c r="M11" s="254"/>
      <c r="N11" s="254"/>
      <c r="O11" s="313">
        <f>K11*Berechnungstool!$I$5</f>
        <v>0</v>
      </c>
      <c r="P11" s="313"/>
      <c r="Q11" s="313"/>
      <c r="R11" s="313"/>
      <c r="S11" s="313"/>
      <c r="T11" s="313"/>
      <c r="U11" s="313"/>
      <c r="V11" s="313"/>
    </row>
    <row r="12" spans="1:32" ht="15" customHeight="1" x14ac:dyDescent="0.25">
      <c r="A12" s="209" t="s">
        <v>41</v>
      </c>
      <c r="B12" s="209"/>
      <c r="C12" s="209"/>
      <c r="D12" s="209"/>
      <c r="E12" s="209"/>
      <c r="F12" s="209"/>
      <c r="G12" s="254" t="b">
        <f>IF(A12=Berechnungstool!$I$11,TRUE,FALSE)</f>
        <v>0</v>
      </c>
      <c r="H12" s="254"/>
      <c r="I12" s="254"/>
      <c r="J12" s="254"/>
      <c r="K12" s="254">
        <v>0.03</v>
      </c>
      <c r="L12" s="254"/>
      <c r="M12" s="254"/>
      <c r="N12" s="254"/>
      <c r="O12" s="313">
        <f>K12*Berechnungstool!$I$5</f>
        <v>0</v>
      </c>
      <c r="P12" s="313"/>
      <c r="Q12" s="313"/>
      <c r="R12" s="313"/>
      <c r="S12" s="313"/>
      <c r="T12" s="313"/>
      <c r="U12" s="313"/>
      <c r="V12" s="313"/>
    </row>
    <row r="13" spans="1:32" ht="15" customHeight="1" x14ac:dyDescent="0.25"/>
    <row r="14" spans="1:32" ht="15" customHeight="1" x14ac:dyDescent="0.25">
      <c r="A14" s="1" t="s">
        <v>52</v>
      </c>
      <c r="I14" s="1" t="s">
        <v>53</v>
      </c>
    </row>
    <row r="15" spans="1:32" ht="15" customHeight="1" x14ac:dyDescent="0.25">
      <c r="I15" s="1" t="s">
        <v>55</v>
      </c>
    </row>
    <row r="16" spans="1:32"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hidden="1" customHeight="1" x14ac:dyDescent="0.25"/>
    <row r="52" ht="15" hidden="1" customHeight="1" x14ac:dyDescent="0.25"/>
    <row r="53" ht="15" hidden="1" customHeight="1" x14ac:dyDescent="0.25"/>
    <row r="54" ht="15" hidden="1" customHeight="1" x14ac:dyDescent="0.25"/>
    <row r="55" ht="15" hidden="1" customHeight="1" x14ac:dyDescent="0.25"/>
  </sheetData>
  <sheetProtection algorithmName="SHA-512" hashValue="taZklVbcWidrfqlm1A8yWk1woWfKSmhbnPbMOEXh1myOhxy+NKuHUUcKagTHBH18mzho62jvHmBz0LYvkPbavA==" saltValue="JHxjZ4ASSZnvudv7vu2yHg==" spinCount="100000" sheet="1" objects="1" scenarios="1"/>
  <mergeCells count="27">
    <mergeCell ref="N1:S1"/>
    <mergeCell ref="AA1:AF1"/>
    <mergeCell ref="A1:F1"/>
    <mergeCell ref="O10:V10"/>
    <mergeCell ref="O11:V11"/>
    <mergeCell ref="O7:V7"/>
    <mergeCell ref="K7:N7"/>
    <mergeCell ref="A7:F7"/>
    <mergeCell ref="G7:J7"/>
    <mergeCell ref="G10:J10"/>
    <mergeCell ref="G11:J11"/>
    <mergeCell ref="O12:V12"/>
    <mergeCell ref="A8:F8"/>
    <mergeCell ref="K12:N12"/>
    <mergeCell ref="K10:N10"/>
    <mergeCell ref="K11:N11"/>
    <mergeCell ref="G12:J12"/>
    <mergeCell ref="A12:F12"/>
    <mergeCell ref="A9:F9"/>
    <mergeCell ref="O8:V8"/>
    <mergeCell ref="K8:N8"/>
    <mergeCell ref="K9:N9"/>
    <mergeCell ref="O9:V9"/>
    <mergeCell ref="A10:F10"/>
    <mergeCell ref="A11:F11"/>
    <mergeCell ref="G8:J8"/>
    <mergeCell ref="G9:J9"/>
  </mergeCells>
  <conditionalFormatting sqref="G9:J12">
    <cfRule type="cellIs" dxfId="17" priority="1" operator="equal">
      <formula>TRUE</formula>
    </cfRule>
  </conditionalFormatting>
  <hyperlinks>
    <hyperlink ref="N1:S1" location="INDEX!A1" display="🏠 INDEX"/>
    <hyperlink ref="AA1:AF1" location="'5'!A1" display="▶ 5"/>
    <hyperlink ref="A1:F1" location="'3'!A1" display="3 ◀"/>
  </hyperlinks>
  <pageMargins left="0.7" right="0.7" top="0.78740157499999996" bottom="0.78740157499999996" header="0.3" footer="0.3"/>
  <pageSetup paperSize="9" orientation="portrait" horizontalDpi="90" verticalDpi="90" r:id="rId1"/>
  <headerFooter>
    <oddHeader>&amp;L&amp;"-,Standard"4 - Sickerwasser</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'1'!$O$4:$O$7</xm:f>
          </x14:formula1>
          <xm:sqref>A9:A12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AF50"/>
  <sheetViews>
    <sheetView view="pageLayout" zoomScaleNormal="100" workbookViewId="0">
      <selection activeCell="AA1" sqref="AA1:AF1"/>
    </sheetView>
  </sheetViews>
  <sheetFormatPr baseColWidth="10" defaultColWidth="0" defaultRowHeight="15" customHeight="1" zeroHeight="1" x14ac:dyDescent="0.2"/>
  <cols>
    <col min="1" max="32" width="2.375" style="69" customWidth="1"/>
    <col min="33" max="16384" width="2.375" style="69" hidden="1"/>
  </cols>
  <sheetData>
    <row r="1" spans="1:32" s="1" customFormat="1" ht="15" customHeight="1" x14ac:dyDescent="0.25">
      <c r="A1" s="282" t="s">
        <v>179</v>
      </c>
      <c r="B1" s="282"/>
      <c r="C1" s="282"/>
      <c r="D1" s="282"/>
      <c r="E1" s="282"/>
      <c r="F1" s="282"/>
      <c r="G1" s="2"/>
      <c r="H1" s="2"/>
      <c r="I1" s="2"/>
      <c r="J1" s="2"/>
      <c r="K1" s="2"/>
      <c r="L1" s="2"/>
      <c r="M1" s="2"/>
      <c r="N1" s="282" t="s">
        <v>170</v>
      </c>
      <c r="O1" s="282"/>
      <c r="P1" s="282"/>
      <c r="Q1" s="282"/>
      <c r="R1" s="282"/>
      <c r="S1" s="282"/>
      <c r="T1" s="2"/>
      <c r="U1" s="2"/>
      <c r="V1" s="2"/>
      <c r="W1" s="2"/>
      <c r="X1" s="2"/>
      <c r="Y1" s="2"/>
      <c r="Z1" s="2"/>
      <c r="AA1" s="282" t="s">
        <v>178</v>
      </c>
      <c r="AB1" s="282"/>
      <c r="AC1" s="282"/>
      <c r="AD1" s="282"/>
      <c r="AE1" s="282"/>
      <c r="AF1" s="282"/>
    </row>
    <row r="2" spans="1:32" ht="15" customHeight="1" x14ac:dyDescent="0.2"/>
    <row r="3" spans="1:32" s="1" customFormat="1" ht="15" customHeight="1" x14ac:dyDescent="0.25">
      <c r="A3" s="1" t="s">
        <v>7</v>
      </c>
      <c r="I3" s="49" t="s">
        <v>45</v>
      </c>
    </row>
    <row r="4" spans="1:32" s="1" customFormat="1" ht="15" customHeight="1" x14ac:dyDescent="0.25">
      <c r="A4" s="1" t="s">
        <v>46</v>
      </c>
      <c r="I4" s="1" t="s">
        <v>263</v>
      </c>
    </row>
    <row r="5" spans="1:32" s="1" customFormat="1" ht="15" customHeight="1" x14ac:dyDescent="0.25">
      <c r="I5" s="1" t="s">
        <v>262</v>
      </c>
    </row>
    <row r="6" spans="1:32" ht="15" customHeight="1" x14ac:dyDescent="0.25">
      <c r="I6" s="1" t="s">
        <v>277</v>
      </c>
    </row>
    <row r="7" spans="1:32" ht="15" customHeight="1" x14ac:dyDescent="0.2"/>
    <row r="8" spans="1:32" ht="15" customHeight="1" x14ac:dyDescent="0.25">
      <c r="A8" s="316" t="s">
        <v>4</v>
      </c>
      <c r="B8" s="316"/>
      <c r="C8" s="316"/>
      <c r="D8" s="316"/>
      <c r="E8" s="316"/>
      <c r="F8" s="316"/>
      <c r="G8" s="316"/>
      <c r="H8" s="316" t="s">
        <v>264</v>
      </c>
      <c r="I8" s="316"/>
      <c r="J8" s="316"/>
      <c r="K8" s="316"/>
      <c r="L8" s="316"/>
      <c r="M8" s="316"/>
      <c r="N8" s="304" t="s">
        <v>12</v>
      </c>
      <c r="O8" s="304"/>
      <c r="P8" s="304"/>
      <c r="Q8" s="304"/>
      <c r="R8" s="316" t="s">
        <v>265</v>
      </c>
      <c r="S8" s="316"/>
      <c r="T8" s="316"/>
      <c r="U8" s="316"/>
      <c r="V8" s="316"/>
      <c r="W8" s="316"/>
      <c r="X8" s="316"/>
      <c r="Y8" s="316"/>
      <c r="Z8" s="316"/>
      <c r="AA8" s="316"/>
      <c r="AB8" s="316"/>
      <c r="AC8" s="316"/>
      <c r="AD8" s="316"/>
    </row>
    <row r="9" spans="1:32" ht="15" customHeight="1" x14ac:dyDescent="0.25">
      <c r="A9" s="316" t="s">
        <v>16</v>
      </c>
      <c r="B9" s="316"/>
      <c r="C9" s="316"/>
      <c r="D9" s="316"/>
      <c r="E9" s="316"/>
      <c r="F9" s="316"/>
      <c r="G9" s="316"/>
      <c r="H9" s="316" t="s">
        <v>85</v>
      </c>
      <c r="I9" s="316"/>
      <c r="J9" s="316"/>
      <c r="K9" s="316"/>
      <c r="L9" s="316"/>
      <c r="M9" s="316"/>
      <c r="N9" s="304" t="s">
        <v>15</v>
      </c>
      <c r="O9" s="304"/>
      <c r="P9" s="304"/>
      <c r="Q9" s="304"/>
      <c r="R9" s="316" t="s">
        <v>85</v>
      </c>
      <c r="S9" s="316"/>
      <c r="T9" s="316"/>
      <c r="U9" s="316"/>
      <c r="V9" s="316"/>
      <c r="W9" s="316"/>
      <c r="X9" s="316"/>
      <c r="Y9" s="316"/>
      <c r="Z9" s="316"/>
      <c r="AA9" s="316"/>
      <c r="AB9" s="316"/>
      <c r="AC9" s="316"/>
      <c r="AD9" s="316"/>
    </row>
    <row r="10" spans="1:32" ht="15" customHeight="1" x14ac:dyDescent="0.25">
      <c r="A10" s="315">
        <v>1</v>
      </c>
      <c r="B10" s="315"/>
      <c r="C10" s="315"/>
      <c r="D10" s="315"/>
      <c r="E10" s="315"/>
      <c r="F10" s="315"/>
      <c r="G10" s="315"/>
      <c r="H10" s="317">
        <f>Berechnungstool!$I$8</f>
        <v>0</v>
      </c>
      <c r="I10" s="315"/>
      <c r="J10" s="315"/>
      <c r="K10" s="315"/>
      <c r="L10" s="315"/>
      <c r="M10" s="315"/>
      <c r="N10" s="254" t="b">
        <f>IF(A10=Berechnungstool!$I$10,TRUE,FALSE)</f>
        <v>0</v>
      </c>
      <c r="O10" s="254"/>
      <c r="P10" s="254"/>
      <c r="Q10" s="254"/>
      <c r="R10" s="314">
        <f>-74.87713+(75.34749*0.70157/(1+10^((-2.47083-$H$10)*0.83185)))+(75.34749*(1-0.70157)/(1+10^((-15.08523-$H$10)*0.10697)))</f>
        <v>-0.52524731925195312</v>
      </c>
      <c r="S10" s="314"/>
      <c r="T10" s="314"/>
      <c r="U10" s="314"/>
      <c r="V10" s="314"/>
      <c r="W10" s="314"/>
      <c r="X10" s="314"/>
      <c r="Y10" s="314"/>
      <c r="Z10" s="314"/>
      <c r="AA10" s="314"/>
      <c r="AB10" s="314"/>
      <c r="AC10" s="314"/>
      <c r="AD10" s="314"/>
    </row>
    <row r="11" spans="1:32" ht="15" customHeight="1" x14ac:dyDescent="0.25">
      <c r="A11" s="315">
        <v>5</v>
      </c>
      <c r="B11" s="315"/>
      <c r="C11" s="315"/>
      <c r="D11" s="315"/>
      <c r="E11" s="315"/>
      <c r="F11" s="315"/>
      <c r="G11" s="315"/>
      <c r="H11" s="317">
        <f>Berechnungstool!$I$8</f>
        <v>0</v>
      </c>
      <c r="I11" s="315"/>
      <c r="J11" s="315"/>
      <c r="K11" s="315"/>
      <c r="L11" s="315"/>
      <c r="M11" s="315"/>
      <c r="N11" s="254" t="b">
        <f>IF(A11=Berechnungstool!$I$10,TRUE,FALSE)</f>
        <v>0</v>
      </c>
      <c r="O11" s="254"/>
      <c r="P11" s="254"/>
      <c r="Q11" s="254"/>
      <c r="R11" s="314">
        <f>-78.23293+(78.77193*0.70397/(1+10^((-2.47579-$H$11)*0.83062)))+(78.77193*(1-0.70397)/(1+10^((-15.07229-$H$11)*0.10679)))</f>
        <v>-0.50294781519169618</v>
      </c>
      <c r="S11" s="314"/>
      <c r="T11" s="314"/>
      <c r="U11" s="314"/>
      <c r="V11" s="314"/>
      <c r="W11" s="314"/>
      <c r="X11" s="314"/>
      <c r="Y11" s="314"/>
      <c r="Z11" s="314"/>
      <c r="AA11" s="314"/>
      <c r="AB11" s="314"/>
      <c r="AC11" s="314"/>
      <c r="AD11" s="314"/>
    </row>
    <row r="12" spans="1:32" ht="15" customHeight="1" x14ac:dyDescent="0.2"/>
    <row r="13" spans="1:32" ht="15" customHeight="1" x14ac:dyDescent="0.25">
      <c r="A13" s="1" t="s">
        <v>52</v>
      </c>
      <c r="B13" s="1"/>
      <c r="C13" s="1"/>
      <c r="D13" s="1"/>
      <c r="E13" s="1"/>
      <c r="F13" s="1"/>
      <c r="G13" s="1"/>
      <c r="H13" s="1"/>
      <c r="I13" s="1" t="s">
        <v>266</v>
      </c>
      <c r="J13" s="1"/>
      <c r="K13" s="1"/>
      <c r="L13" s="1"/>
      <c r="M13" s="1"/>
      <c r="N13" s="1"/>
      <c r="O13" s="1"/>
      <c r="P13" s="1"/>
      <c r="Q13" s="1"/>
      <c r="R13" s="1"/>
      <c r="S13" s="1"/>
      <c r="T13" s="1"/>
      <c r="U13" s="1"/>
      <c r="V13" s="1"/>
    </row>
    <row r="14" spans="1:32" ht="15" customHeight="1" x14ac:dyDescent="0.25">
      <c r="A14" s="1"/>
      <c r="B14" s="1"/>
      <c r="C14" s="1"/>
      <c r="D14" s="1"/>
      <c r="E14" s="1"/>
      <c r="F14" s="1"/>
      <c r="G14" s="1"/>
      <c r="H14" s="1"/>
      <c r="I14" s="1" t="s">
        <v>267</v>
      </c>
      <c r="J14" s="1"/>
      <c r="K14" s="1"/>
      <c r="L14" s="1"/>
      <c r="M14" s="1"/>
      <c r="N14" s="1"/>
      <c r="O14" s="1"/>
      <c r="P14" s="1"/>
      <c r="Q14" s="1"/>
      <c r="R14" s="1"/>
      <c r="S14" s="1"/>
      <c r="T14" s="1"/>
      <c r="U14" s="1"/>
      <c r="V14" s="1"/>
    </row>
    <row r="15" spans="1:32" ht="15" customHeight="1" x14ac:dyDescent="0.25">
      <c r="A15" s="1"/>
      <c r="B15" s="1"/>
      <c r="C15" s="1"/>
      <c r="D15" s="1"/>
      <c r="E15" s="1"/>
      <c r="F15" s="1"/>
      <c r="G15" s="1"/>
      <c r="H15" s="1"/>
      <c r="I15" s="1" t="s">
        <v>268</v>
      </c>
      <c r="J15" s="1"/>
      <c r="K15" s="1"/>
      <c r="L15" s="1"/>
      <c r="M15" s="1"/>
      <c r="N15" s="1"/>
      <c r="O15" s="1"/>
      <c r="P15" s="1"/>
      <c r="Q15" s="1"/>
      <c r="R15" s="1"/>
      <c r="S15" s="1"/>
      <c r="T15" s="1"/>
      <c r="U15" s="1"/>
      <c r="V15" s="1"/>
    </row>
    <row r="16" spans="1:32" ht="15" customHeight="1" x14ac:dyDescent="0.25">
      <c r="A16" s="1"/>
      <c r="B16" s="1"/>
      <c r="C16" s="1"/>
      <c r="D16" s="1"/>
      <c r="E16" s="1"/>
      <c r="F16" s="1"/>
      <c r="G16" s="1"/>
      <c r="H16" s="1"/>
      <c r="I16" s="1" t="s">
        <v>269</v>
      </c>
      <c r="J16" s="1"/>
      <c r="K16" s="1"/>
      <c r="L16" s="1"/>
      <c r="M16" s="1"/>
      <c r="N16" s="1"/>
      <c r="O16" s="1"/>
      <c r="P16" s="1"/>
      <c r="Q16" s="1"/>
      <c r="R16" s="1"/>
      <c r="S16" s="1"/>
      <c r="T16" s="1"/>
      <c r="U16" s="1"/>
      <c r="V16" s="1"/>
    </row>
    <row r="17" spans="1:22" ht="15" customHeight="1" x14ac:dyDescent="0.25">
      <c r="A17" s="1"/>
      <c r="B17" s="1"/>
      <c r="C17" s="1"/>
      <c r="D17" s="1"/>
      <c r="E17" s="1"/>
      <c r="F17" s="1"/>
      <c r="G17" s="1"/>
      <c r="H17" s="1"/>
      <c r="I17" s="1" t="s">
        <v>275</v>
      </c>
      <c r="J17" s="1"/>
      <c r="K17" s="1"/>
      <c r="L17" s="1"/>
      <c r="M17" s="1"/>
      <c r="N17" s="1"/>
      <c r="O17" s="1"/>
      <c r="P17" s="1"/>
      <c r="Q17" s="1"/>
      <c r="R17" s="1"/>
      <c r="S17" s="1"/>
      <c r="T17" s="1"/>
      <c r="U17" s="1"/>
      <c r="V17" s="1"/>
    </row>
    <row r="18" spans="1:22" ht="15" customHeight="1" x14ac:dyDescent="0.25">
      <c r="A18" s="1"/>
      <c r="B18" s="1"/>
      <c r="C18" s="1"/>
      <c r="D18" s="1"/>
      <c r="E18" s="1"/>
      <c r="F18" s="1"/>
      <c r="G18" s="1"/>
      <c r="H18" s="1"/>
      <c r="I18" s="1" t="s">
        <v>276</v>
      </c>
      <c r="J18" s="1"/>
      <c r="K18" s="1"/>
      <c r="L18" s="1"/>
      <c r="M18" s="1"/>
      <c r="N18" s="1"/>
      <c r="O18" s="1"/>
      <c r="P18" s="1"/>
      <c r="Q18" s="1"/>
      <c r="R18" s="1"/>
      <c r="S18" s="1"/>
      <c r="T18" s="1"/>
      <c r="U18" s="1"/>
      <c r="V18" s="1"/>
    </row>
    <row r="19" spans="1:22" ht="15" customHeight="1" x14ac:dyDescent="0.25">
      <c r="A19" s="1"/>
      <c r="B19" s="1"/>
      <c r="C19" s="1"/>
      <c r="D19" s="1"/>
      <c r="E19" s="1"/>
      <c r="F19" s="1"/>
      <c r="G19" s="1"/>
      <c r="H19" s="1"/>
      <c r="I19" s="1"/>
      <c r="J19" s="1"/>
      <c r="K19" s="1"/>
      <c r="L19" s="1"/>
      <c r="M19" s="1"/>
      <c r="N19" s="1"/>
      <c r="O19" s="1"/>
      <c r="P19" s="1"/>
      <c r="Q19" s="1"/>
      <c r="R19" s="1"/>
      <c r="S19" s="1"/>
      <c r="T19" s="1"/>
      <c r="U19" s="1"/>
      <c r="V19" s="1"/>
    </row>
    <row r="20" spans="1:22" ht="15" customHeight="1" x14ac:dyDescent="0.2"/>
    <row r="21" spans="1:22" ht="15" customHeight="1" x14ac:dyDescent="0.2"/>
    <row r="22" spans="1:22" ht="15" customHeight="1" x14ac:dyDescent="0.2"/>
    <row r="23" spans="1:22" ht="15" customHeight="1" x14ac:dyDescent="0.2"/>
    <row r="24" spans="1:22" ht="15" customHeight="1" x14ac:dyDescent="0.2"/>
    <row r="25" spans="1:22" ht="15" customHeight="1" x14ac:dyDescent="0.2"/>
    <row r="26" spans="1:22" ht="15" customHeight="1" x14ac:dyDescent="0.2"/>
    <row r="27" spans="1:22" ht="15" customHeight="1" x14ac:dyDescent="0.2"/>
    <row r="28" spans="1:22" ht="15" customHeight="1" x14ac:dyDescent="0.2"/>
    <row r="29" spans="1:22" ht="15" customHeight="1" x14ac:dyDescent="0.2"/>
    <row r="30" spans="1:22" ht="15" customHeight="1" x14ac:dyDescent="0.2"/>
    <row r="31" spans="1:22" ht="15" customHeight="1" x14ac:dyDescent="0.2"/>
    <row r="32" spans="1:2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sheetProtection algorithmName="SHA-512" hashValue="HO43Lf5NMj8vdrLPaiu2uk+rcSI74QgJFLU8YwlyPeYTtQMPVLh9/qoEL8lNq1FTouyiyE/LyYyhn4s2Ds09Rw==" saltValue="R7K5nX5Q4IZofoDN9gZQJQ==" spinCount="100000" sheet="1" objects="1" scenarios="1"/>
  <mergeCells count="19">
    <mergeCell ref="H11:M11"/>
    <mergeCell ref="R8:AD8"/>
    <mergeCell ref="R9:AD9"/>
    <mergeCell ref="R10:AD10"/>
    <mergeCell ref="R11:AD11"/>
    <mergeCell ref="N11:Q11"/>
    <mergeCell ref="A11:G11"/>
    <mergeCell ref="A1:F1"/>
    <mergeCell ref="N1:S1"/>
    <mergeCell ref="AA1:AF1"/>
    <mergeCell ref="N8:Q8"/>
    <mergeCell ref="N9:Q9"/>
    <mergeCell ref="N10:Q10"/>
    <mergeCell ref="A8:G8"/>
    <mergeCell ref="H8:M8"/>
    <mergeCell ref="A9:G9"/>
    <mergeCell ref="H9:M9"/>
    <mergeCell ref="A10:G10"/>
    <mergeCell ref="H10:M10"/>
  </mergeCells>
  <conditionalFormatting sqref="N10:Q11">
    <cfRule type="cellIs" dxfId="16" priority="1" operator="equal">
      <formula>TRUE</formula>
    </cfRule>
  </conditionalFormatting>
  <hyperlinks>
    <hyperlink ref="N1:S1" location="INDEX!A1" display="🏠 INDEX"/>
    <hyperlink ref="AA1:AF1" location="'6'!A1" display="▶ 6"/>
    <hyperlink ref="A1:F1" location="'3'!A1" display="3 ◀"/>
  </hyperlinks>
  <pageMargins left="0.7" right="0.7" top="0.78740157499999996" bottom="0.78740157499999996" header="0.3" footer="0.3"/>
  <pageSetup paperSize="9" orientation="portrait" horizontalDpi="90" verticalDpi="90" r:id="rId1"/>
  <headerFooter>
    <oddHeader>&amp;L&amp;"-,Standard"5 - Korrektur Leitungsgefälle</oddHeader>
  </headerFooter>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'1'!$K$4:$K$5</xm:f>
          </x14:formula1>
          <xm:sqref>A10:G11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732965405EE794CB8648A8C52097D10" ma:contentTypeVersion="14" ma:contentTypeDescription="Ein neues Dokument erstellen." ma:contentTypeScope="" ma:versionID="4fa8d4e82c812760bac98266ae59aa6a">
  <xsd:schema xmlns:xsd="http://www.w3.org/2001/XMLSchema" xmlns:xs="http://www.w3.org/2001/XMLSchema" xmlns:p="http://schemas.microsoft.com/office/2006/metadata/properties" xmlns:ns1="http://schemas.microsoft.com/sharepoint/v3" xmlns:ns3="b9bbc5c3-42c9-4c30-b7a3-3f0c5e2a5378" xmlns:ns4="dc295bef-c00e-43c1-869f-46b6bed64016" xmlns:ns5="26cbe913-527c-420a-a328-19be24aeefb1" targetNamespace="http://schemas.microsoft.com/office/2006/metadata/properties" ma:root="true" ma:fieldsID="8e31ae1d2334980f891948c0295adea1" ns1:_="" ns3:_="" ns4:_="" ns5:_="">
    <xsd:import namespace="http://schemas.microsoft.com/sharepoint/v3"/>
    <xsd:import namespace="b9bbc5c3-42c9-4c30-b7a3-3f0c5e2a5378"/>
    <xsd:import namespace="dc295bef-c00e-43c1-869f-46b6bed64016"/>
    <xsd:import namespace="26cbe913-527c-420a-a328-19be24aeefb1"/>
    <xsd:element name="properties">
      <xsd:complexType>
        <xsd:sequence>
          <xsd:element name="documentManagement">
            <xsd:complexType>
              <xsd:all>
                <xsd:element ref="ns1:Language" minOccurs="0"/>
                <xsd:element ref="ns3:CustomerID" minOccurs="0"/>
                <xsd:element ref="ns4:UserField1" minOccurs="0"/>
                <xsd:element ref="ns4:UserField2" minOccurs="0"/>
                <xsd:element ref="ns4:UserField3" minOccurs="0"/>
                <xsd:element ref="ns5:Benutzerfeld_x0020_5" minOccurs="0"/>
                <xsd:element ref="ns5:Quel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1" nillable="true" ma:displayName="Sprache" ma:default="DE" ma:format="Dropdown" ma:internalName="Language">
      <xsd:simpleType>
        <xsd:restriction base="dms:Choice">
          <xsd:enumeration value="DE"/>
          <xsd:enumeration value="RM"/>
          <xsd:enumeration value="IT"/>
          <xsd:enumeration value="EN"/>
        </xsd:restriction>
      </xsd:simpleType>
    </xsd:element>
  </xsd:schema>
  <xsd:schema xmlns:xsd="http://www.w3.org/2001/XMLSchema" xmlns:xs="http://www.w3.org/2001/XMLSchema" xmlns:dms="http://schemas.microsoft.com/office/2006/documentManagement/types" xmlns:pc="http://schemas.microsoft.com/office/infopath/2007/PartnerControls" targetNamespace="b9bbc5c3-42c9-4c30-b7a3-3f0c5e2a5378" elementFormDefault="qualified">
    <xsd:import namespace="http://schemas.microsoft.com/office/2006/documentManagement/types"/>
    <xsd:import namespace="http://schemas.microsoft.com/office/infopath/2007/PartnerControls"/>
    <xsd:element name="CustomerID" ma:index="12" nillable="true" ma:displayName="Benutzerdefinierte ID-Nummer" ma:description="Alfabetische ID zu Sortierzwecken - arbeiten Sie mit Lücken!&#10;0-9 vor A-Z - verwenden Sie min. 3-4 Zeichen/Ziffern&#10;Beispiel: 1000 A1000 B1000" ma:internalName="CustomerID">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295bef-c00e-43c1-869f-46b6bed64016" elementFormDefault="qualified">
    <xsd:import namespace="http://schemas.microsoft.com/office/2006/documentManagement/types"/>
    <xsd:import namespace="http://schemas.microsoft.com/office/infopath/2007/PartnerControls"/>
    <xsd:element name="UserField1" ma:index="13" nillable="true" ma:displayName="Benutzerfeld 1" ma:internalName="UserField1">
      <xsd:simpleType>
        <xsd:restriction base="dms:Text"/>
      </xsd:simpleType>
    </xsd:element>
    <xsd:element name="UserField2" ma:index="14" nillable="true" ma:displayName="Benutzerfeld 2" ma:internalName="UserField2">
      <xsd:simpleType>
        <xsd:restriction base="dms:Text"/>
      </xsd:simpleType>
    </xsd:element>
    <xsd:element name="UserField3" ma:index="15" nillable="true" ma:displayName="Ausgabedatum" ma:description="Ausgabedatum" ma:internalName="UserField3">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cbe913-527c-420a-a328-19be24aeefb1" elementFormDefault="qualified">
    <xsd:import namespace="http://schemas.microsoft.com/office/2006/documentManagement/types"/>
    <xsd:import namespace="http://schemas.microsoft.com/office/infopath/2007/PartnerControls"/>
    <xsd:element name="Benutzerfeld_x0020_5" ma:index="16" nillable="true" ma:displayName="Benutzerfeld 5" ma:internalName="Benutzerfeld_x0020_5">
      <xsd:simpleType>
        <xsd:restriction base="dms:Text">
          <xsd:maxLength value="255"/>
        </xsd:restriction>
      </xsd:simpleType>
    </xsd:element>
    <xsd:element name="Quelle" ma:index="17" nillable="true" ma:displayName="Quelle" ma:default="Projektierung" ma:internalName="Quell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Beschreibung"/>
        <xsd:element ref="dc:subject" minOccurs="0" maxOccurs="1"/>
        <xsd:element ref="dc:description" minOccurs="0" maxOccurs="1" ma:index="8" ma:displayName="Kommentare"/>
        <xsd:element name="keywords" minOccurs="0" maxOccurs="1" type="xsd:string" ma:index="10" ma:displayName="Schlüsselwörter"/>
        <xsd:element ref="dc:language" minOccurs="0" maxOccurs="1"/>
        <xsd:element name="category" minOccurs="0" maxOccurs="1" type="xsd:string" ma:index="9" ma:displayName="Kategorie"/>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DE</Language>
    <UserField1 xmlns="dc295bef-c00e-43c1-869f-46b6bed64016">•</UserField1>
    <Quelle xmlns="26cbe913-527c-420a-a328-19be24aeefb1">Projektierung</Quelle>
    <Benutzerfeld_x0020_5 xmlns="26cbe913-527c-420a-a328-19be24aeefb1" xsi:nil="true"/>
    <UserField2 xmlns="dc295bef-c00e-43c1-869f-46b6bed64016" xsi:nil="true"/>
    <CustomerID xmlns="b9bbc5c3-42c9-4c30-b7a3-3f0c5e2a5378">10111</CustomerID>
    <UserField3 xmlns="dc295bef-c00e-43c1-869f-46b6bed64016">01.07.2022</UserField3>
  </documentManagement>
</p:properties>
</file>

<file path=customXml/itemProps1.xml><?xml version="1.0" encoding="utf-8"?>
<ds:datastoreItem xmlns:ds="http://schemas.openxmlformats.org/officeDocument/2006/customXml" ds:itemID="{E230C192-48E3-4023-8A31-B126DEFFF842}"/>
</file>

<file path=customXml/itemProps2.xml><?xml version="1.0" encoding="utf-8"?>
<ds:datastoreItem xmlns:ds="http://schemas.openxmlformats.org/officeDocument/2006/customXml" ds:itemID="{FD08D296-1358-4C9A-98D0-FE129759621C}"/>
</file>

<file path=customXml/itemProps3.xml><?xml version="1.0" encoding="utf-8"?>
<ds:datastoreItem xmlns:ds="http://schemas.openxmlformats.org/officeDocument/2006/customXml" ds:itemID="{088BA2EA-866F-4980-9A7B-97F26B0BD77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6</vt:i4>
      </vt:variant>
    </vt:vector>
  </HeadingPairs>
  <TitlesOfParts>
    <vt:vector size="24" baseType="lpstr">
      <vt:lpstr>Berechnungstool</vt:lpstr>
      <vt:lpstr>Info</vt:lpstr>
      <vt:lpstr>Skizze SS</vt:lpstr>
      <vt:lpstr>INDEX</vt:lpstr>
      <vt:lpstr>1</vt:lpstr>
      <vt:lpstr>2</vt:lpstr>
      <vt:lpstr>3</vt:lpstr>
      <vt:lpstr>4</vt:lpstr>
      <vt:lpstr>5</vt:lpstr>
      <vt:lpstr>6</vt:lpstr>
      <vt:lpstr>7</vt:lpstr>
      <vt:lpstr>8</vt:lpstr>
      <vt:lpstr>9</vt:lpstr>
      <vt:lpstr>10</vt:lpstr>
      <vt:lpstr>11</vt:lpstr>
      <vt:lpstr>12</vt:lpstr>
      <vt:lpstr>13</vt:lpstr>
      <vt:lpstr>14</vt:lpstr>
      <vt:lpstr>Berechnungstool!Druckbereich</vt:lpstr>
      <vt:lpstr>'Skizze SS'!Druckbereich</vt:lpstr>
      <vt:lpstr>Info!Drucktitel</vt:lpstr>
      <vt:lpstr>fliessend</vt:lpstr>
      <vt:lpstr>ja</vt:lpstr>
      <vt:lpstr>nein</vt:lpstr>
    </vt:vector>
  </TitlesOfParts>
  <Company>Kantonale Verwaltung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Strassenentwässerung: Berechnungstool (xlsx)</dc:title>
  <dc:creator>Uldack Mathias</dc:creator>
  <cp:lastModifiedBy>Uldack Mathias</cp:lastModifiedBy>
  <cp:lastPrinted>2022-06-20T07:06:13Z</cp:lastPrinted>
  <dcterms:created xsi:type="dcterms:W3CDTF">2022-04-13T13:17:21Z</dcterms:created>
  <dcterms:modified xsi:type="dcterms:W3CDTF">2022-06-28T11:19:38Z</dcterms:modified>
  <cp:category>01 Projektierungsgrundlagen</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0x010100A732965405EE794CB8648A8C52097D10</vt:lpwstr>
  </property>
</Properties>
</file>