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10 TOURISMUS\HESTA ab 2017\Monatsdaten\Monatsauswertungen 2026\"/>
    </mc:Choice>
  </mc:AlternateContent>
  <xr:revisionPtr revIDLastSave="0" documentId="13_ncr:1_{158BE3B2-78F0-4327-8069-0805FEC61814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Auslastung_Occupaziun_Occupazio" sheetId="18" r:id="rId1"/>
    <sheet name="Uebersetzungen" sheetId="5" state="hidden" r:id="rId2"/>
  </sheets>
  <definedNames>
    <definedName name="_xlnm.Print_Area" localSheetId="0">Auslastung_Occupaziun_Occupazio!$A$1:$O$100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18" l="1"/>
  <c r="O42" i="18"/>
  <c r="O12" i="18"/>
  <c r="N72" i="18"/>
  <c r="N42" i="18"/>
  <c r="N12" i="18"/>
  <c r="D3" i="5"/>
  <c r="E9" i="5"/>
  <c r="D9" i="5"/>
  <c r="C9" i="5"/>
  <c r="A69" i="18" s="1"/>
  <c r="A66" i="18"/>
  <c r="A65" i="18"/>
  <c r="B63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M42" i="18"/>
  <c r="L42" i="18"/>
  <c r="K42" i="18"/>
  <c r="J42" i="18"/>
  <c r="I42" i="18"/>
  <c r="H42" i="18"/>
  <c r="G42" i="18"/>
  <c r="F42" i="18"/>
  <c r="E42" i="18"/>
  <c r="D42" i="18"/>
  <c r="C42" i="18"/>
  <c r="A42" i="18"/>
  <c r="A40" i="18"/>
  <c r="A95" i="18" l="1"/>
  <c r="A36" i="18"/>
  <c r="A96" i="18"/>
  <c r="E8" i="5"/>
  <c r="E7" i="5"/>
  <c r="D8" i="5"/>
  <c r="D7" i="5"/>
  <c r="C8" i="5"/>
  <c r="A39" i="18" s="1"/>
  <c r="C7" i="5"/>
  <c r="A35" i="18" l="1"/>
  <c r="B93" i="18" l="1"/>
  <c r="B33" i="18"/>
  <c r="A98" i="18"/>
  <c r="M72" i="18"/>
  <c r="L72" i="18"/>
  <c r="K72" i="18"/>
  <c r="J72" i="18"/>
  <c r="I72" i="18"/>
  <c r="H72" i="18"/>
  <c r="G72" i="18"/>
  <c r="F72" i="18"/>
  <c r="E72" i="18"/>
  <c r="D72" i="18"/>
  <c r="C72" i="18"/>
  <c r="A72" i="18"/>
  <c r="M12" i="18"/>
  <c r="L12" i="18"/>
  <c r="K12" i="18"/>
  <c r="J12" i="18"/>
  <c r="I12" i="18"/>
  <c r="H12" i="18"/>
  <c r="G12" i="18"/>
  <c r="F12" i="18"/>
  <c r="E12" i="18"/>
  <c r="D12" i="18"/>
  <c r="C12" i="18"/>
  <c r="A12" i="18"/>
  <c r="A70" i="18"/>
  <c r="A9" i="18"/>
  <c r="A100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10" i="18" l="1"/>
  <c r="A99" i="18" l="1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7" i="18"/>
</calcChain>
</file>

<file path=xl/sharedStrings.xml><?xml version="1.0" encoding="utf-8"?>
<sst xmlns="http://schemas.openxmlformats.org/spreadsheetml/2006/main" count="205" uniqueCount="152">
  <si>
    <t>Davos Klosters</t>
  </si>
  <si>
    <t>Flims Laax</t>
  </si>
  <si>
    <t>Chur</t>
  </si>
  <si>
    <t>Lenzerheide</t>
  </si>
  <si>
    <t>Prättigau</t>
  </si>
  <si>
    <t>Valposchiavo</t>
  </si>
  <si>
    <t>Viamala</t>
  </si>
  <si>
    <t>Bergün Filisur</t>
  </si>
  <si>
    <t>Disentis Sedrun</t>
  </si>
  <si>
    <t>Vals</t>
  </si>
  <si>
    <t>Graubünden</t>
  </si>
  <si>
    <t>San Bernardino, Mesolcina/Calanca</t>
  </si>
  <si>
    <t>Bündner Herrschaft</t>
  </si>
  <si>
    <t>Arosa</t>
  </si>
  <si>
    <t>Surselva</t>
  </si>
  <si>
    <t>Bregaglia Engadin</t>
  </si>
  <si>
    <t>Engadin St. Moritz</t>
  </si>
  <si>
    <t>Scuol Samnaun Val Müstair</t>
  </si>
  <si>
    <t>Aktuelle Zuordnung der politischen Gemeinden zu Destinationen:</t>
  </si>
  <si>
    <t>Kontakt: Luzius Stricker, 081 257 23 74, luzius.stricker@awt.gr.ch</t>
  </si>
  <si>
    <t>Val Surses</t>
  </si>
  <si>
    <t xml:space="preserve"> 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</si>
  <si>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</si>
  <si>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</si>
  <si>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</si>
  <si>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</si>
  <si>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</si>
  <si>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</si>
  <si>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</si>
  <si>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</si>
  <si>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</si>
  <si>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</si>
  <si>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</si>
  <si>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T1-2</t>
  </si>
  <si>
    <t>&lt;SpaltenTitel_1&gt;</t>
  </si>
  <si>
    <t>&lt;SpaltenTitel_2&gt;</t>
  </si>
  <si>
    <t>&lt;SpaltenTitel_3&gt;</t>
  </si>
  <si>
    <t>&lt;Zeilentitel_25&gt;</t>
  </si>
  <si>
    <t>&lt;Zeilentitel_26&gt;</t>
  </si>
  <si>
    <t>&lt;Zeilentitel_27&gt;</t>
  </si>
  <si>
    <t>&lt;Legende_1&gt;</t>
  </si>
  <si>
    <t>&lt;Legende_2&gt;</t>
  </si>
  <si>
    <t>&lt;Quelle_1&gt;</t>
  </si>
  <si>
    <t>&lt;Aktualisierung&gt;</t>
  </si>
  <si>
    <t>Quelle: BFS (HESTA)</t>
  </si>
  <si>
    <t>&lt;Titel1&gt;</t>
  </si>
  <si>
    <t>&lt;Titel2&gt;</t>
  </si>
  <si>
    <t>&lt;Titel3&gt;</t>
  </si>
  <si>
    <t>&lt;Zeilentitel_28&gt;</t>
  </si>
  <si>
    <t>&lt;Zeilentitel_29&gt;</t>
  </si>
  <si>
    <t>&lt;Zeilentitel_30&gt;</t>
  </si>
  <si>
    <t>&lt;Zeilentitel_31&gt;</t>
  </si>
  <si>
    <t>&lt;Zeilentitel_32&gt;</t>
  </si>
  <si>
    <t>&lt;Zeilentitel_33&gt;</t>
  </si>
  <si>
    <t>&lt;Zeilentitel_34&gt;</t>
  </si>
  <si>
    <t>&lt;Zeilentitel_35&gt;</t>
  </si>
  <si>
    <t>&lt;Zeilentitel_36&gt;</t>
  </si>
  <si>
    <t>&lt;Zeilentitel_37&gt;</t>
  </si>
  <si>
    <t>&lt;Zeilentitel_38&gt;</t>
  </si>
  <si>
    <t>&lt;Zeilentitel_39&gt;</t>
  </si>
  <si>
    <t>&lt;Zeilentitel_40&gt;</t>
  </si>
  <si>
    <t>&lt;Zeilentitel_41&gt;</t>
  </si>
  <si>
    <t>&lt;Zeilentitel_42&gt;</t>
  </si>
  <si>
    <t>&lt;Zeilentitel_43&gt;</t>
  </si>
  <si>
    <t>&lt;Zeilentitel_44&gt;</t>
  </si>
  <si>
    <t>&lt;SpaltenTitel_4&gt;</t>
  </si>
  <si>
    <t>&lt;SpaltenTitel_5&gt;</t>
  </si>
  <si>
    <t>&lt;SpaltenTitel_6&gt;</t>
  </si>
  <si>
    <t>&lt;SpaltenTitel_7&gt;</t>
  </si>
  <si>
    <t>&lt;SpaltenTitel_8&gt;</t>
  </si>
  <si>
    <t>Attribuziun actuala da las vischnancas politicas a destinaziuns:</t>
  </si>
  <si>
    <t>Contact: Luzius Stricker, 081 257 23 74, luzius.stricker@awt.gr.ch</t>
  </si>
  <si>
    <t>Contatto: Luzius Stricker, 081 257 23 74, luzius.stricker@awt.gr.ch</t>
  </si>
  <si>
    <t>Attuale assegnazione dei comuni politici alle destinazioni:</t>
  </si>
  <si>
    <t>Grischun</t>
  </si>
  <si>
    <t>Grigioni</t>
  </si>
  <si>
    <t xml:space="preserve">Arosa </t>
  </si>
  <si>
    <t>Bündner Herschaft</t>
  </si>
  <si>
    <t>Funtauna: UST (HESTA)</t>
  </si>
  <si>
    <t>Fonte: UST (HESTA)</t>
  </si>
  <si>
    <t>INPUT JAHRESZAHL</t>
  </si>
  <si>
    <t>&lt;Titelprov&gt;</t>
  </si>
  <si>
    <t>definitive Ergebnisse</t>
  </si>
  <si>
    <t>resultats definitivs</t>
  </si>
  <si>
    <t>cifre definitive</t>
  </si>
  <si>
    <t>provisorische Ergebnisse</t>
  </si>
  <si>
    <t>&lt;Titeldef&gt;</t>
  </si>
  <si>
    <t>&lt;SpaltenTitel_9&gt;</t>
  </si>
  <si>
    <t>&lt;SpaltenTitel_10&gt;</t>
  </si>
  <si>
    <t>&lt;SpaltenTitel_11&gt;</t>
  </si>
  <si>
    <t>&lt;SpaltenTitel_12&gt;</t>
  </si>
  <si>
    <t>&lt;SpaltenTitel_13&gt;</t>
  </si>
  <si>
    <t>Destination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</si>
  <si>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</si>
  <si>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</si>
  <si>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</si>
  <si>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</si>
  <si>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</si>
  <si>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</si>
  <si>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</si>
  <si>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</si>
  <si>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</si>
  <si>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</si>
  <si>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</si>
  <si>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</si>
  <si>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Farbskala:</t>
  </si>
  <si>
    <t>resultats provisorics</t>
  </si>
  <si>
    <t>cifre provvisorie</t>
  </si>
  <si>
    <t>Destinaziun</t>
  </si>
  <si>
    <t>Destinazione</t>
  </si>
  <si>
    <t>Marzo</t>
  </si>
  <si>
    <t>Maggio</t>
  </si>
  <si>
    <t>Luglio</t>
  </si>
  <si>
    <t>Settembre</t>
  </si>
  <si>
    <t>Gennaio</t>
  </si>
  <si>
    <t>Febbraio</t>
  </si>
  <si>
    <t>Aprile</t>
  </si>
  <si>
    <t>Giugno</t>
  </si>
  <si>
    <t>Agosto</t>
  </si>
  <si>
    <t>Ottobre</t>
  </si>
  <si>
    <t>Novembre</t>
  </si>
  <si>
    <t>Dicembre</t>
  </si>
  <si>
    <t>Schaner</t>
  </si>
  <si>
    <t>Fevrer</t>
  </si>
  <si>
    <t>Mars</t>
  </si>
  <si>
    <t>Avrigl</t>
  </si>
  <si>
    <t>Matg</t>
  </si>
  <si>
    <t>Zercladur</t>
  </si>
  <si>
    <t>Fanadur</t>
  </si>
  <si>
    <t>October</t>
  </si>
  <si>
    <t>Avust</t>
  </si>
  <si>
    <t>Scala da colurs:</t>
  </si>
  <si>
    <t>Scala die colori:</t>
  </si>
  <si>
    <t>Destinationen/destinaziuns/destinazioni</t>
  </si>
  <si>
    <t>December</t>
  </si>
  <si>
    <t>&lt;Legende_3&gt;</t>
  </si>
  <si>
    <t>* Berechnungsgrundlage: Bruttozimmerauslastung = Zimmernächte / (Zimmer * Anzahl Kalendertage)</t>
  </si>
  <si>
    <t>* Basa da calculaziun: occupaziun da las chombras brutta = pernottaziuns en las chombras / (dumber da chombras * dis da chalender)</t>
  </si>
  <si>
    <t>* Base di calcolazione: occupazione delle camere lorda = pernottamenti in camera / (numero di cambere * giorni di calendario)</t>
  </si>
  <si>
    <t>30-40%</t>
  </si>
  <si>
    <t>40-50%</t>
  </si>
  <si>
    <t>60-70%</t>
  </si>
  <si>
    <t>50-60%</t>
  </si>
  <si>
    <r>
      <rPr>
        <sz val="10"/>
        <color theme="1"/>
        <rFont val="Calibri"/>
        <family val="2"/>
      </rPr>
      <t>≥</t>
    </r>
    <r>
      <rPr>
        <sz val="10"/>
        <color theme="1"/>
        <rFont val="Arial"/>
        <family val="2"/>
      </rPr>
      <t>70%</t>
    </r>
  </si>
  <si>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>30%</t>
    </r>
  </si>
  <si>
    <t>&lt;SpaltenTitel_14&gt;</t>
  </si>
  <si>
    <t>Media annuala</t>
  </si>
  <si>
    <t>Media annuale</t>
  </si>
  <si>
    <t>Jahresdurch-
schnitt</t>
  </si>
  <si>
    <t>Letztmals aktualisiert am: 09.03.2026</t>
  </si>
  <si>
    <t>Ultima actualisaziun: 09.03.2026</t>
  </si>
  <si>
    <t>Ultimo aggiornamento: 09.03.2026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</si>
</sst>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 * #,##0_ ;_ * \-#,##0_ ;_ * &quot;-&quot;??_ ;_ @_ 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0"/>
      <name val="Helv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Segoe UI"/>
      <family val="2"/>
    </font>
    <font>
      <b/>
      <sz val="18"/>
      <name val="Arial"/>
      <family val="2"/>
    </font>
    <font>
      <b/>
      <sz val="10"/>
      <color indexed="8"/>
      <name val="Arial Narrow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FB9275"/>
        <bgColor indexed="64"/>
      </patternFill>
    </fill>
    <fill>
      <patternFill patternType="solid">
        <fgColor rgb="FFFEBB72"/>
        <bgColor indexed="64"/>
      </patternFill>
    </fill>
    <fill>
      <patternFill patternType="solid">
        <fgColor rgb="FFC8D54D"/>
        <bgColor indexed="64"/>
      </patternFill>
    </fill>
    <fill>
      <patternFill patternType="solid">
        <fgColor rgb="FF87C45E"/>
        <bgColor indexed="64"/>
      </patternFill>
    </fill>
    <fill>
      <patternFill patternType="solid">
        <fgColor rgb="FF4BB36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1" fillId="0" borderId="0"/>
    <xf numFmtId="0" fontId="8" fillId="0" borderId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0" fontId="11" fillId="0" borderId="0"/>
    <xf numFmtId="0" fontId="13" fillId="0" borderId="0" applyNumberFormat="0" applyBorder="0" applyAlignment="0"/>
    <xf numFmtId="43" fontId="1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0">
    <xf numFmtId="0" fontId="0" fillId="0" borderId="0" xfId="0"/>
    <xf numFmtId="0" fontId="6" fillId="2" borderId="0" xfId="1" applyFont="1" applyFill="1" applyBorder="1"/>
    <xf numFmtId="0" fontId="7" fillId="2" borderId="0" xfId="1" applyFont="1" applyFill="1" applyAlignment="1" applyProtection="1">
      <alignment horizontal="left"/>
      <protection locked="0"/>
    </xf>
    <xf numFmtId="0" fontId="3" fillId="2" borderId="0" xfId="1" applyFill="1"/>
    <xf numFmtId="0" fontId="0" fillId="2" borderId="0" xfId="0" applyFill="1"/>
    <xf numFmtId="17" fontId="0" fillId="3" borderId="3" xfId="0" applyNumberFormat="1" applyFill="1" applyBorder="1" applyAlignment="1">
      <alignment horizontal="right" vertical="center" wrapText="1"/>
    </xf>
    <xf numFmtId="0" fontId="0" fillId="3" borderId="4" xfId="0" applyNumberForma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165" fontId="2" fillId="2" borderId="0" xfId="5" applyNumberFormat="1" applyFont="1" applyFill="1" applyBorder="1" applyAlignment="1">
      <alignment horizontal="right" vertical="center"/>
    </xf>
    <xf numFmtId="0" fontId="2" fillId="2" borderId="0" xfId="0" applyFont="1" applyFill="1"/>
    <xf numFmtId="0" fontId="2" fillId="2" borderId="0" xfId="0" applyFont="1" applyFill="1" applyBorder="1"/>
    <xf numFmtId="165" fontId="1" fillId="2" borderId="0" xfId="5" applyNumberFormat="1" applyFont="1" applyFill="1" applyBorder="1" applyAlignment="1">
      <alignment horizontal="right" vertical="center"/>
    </xf>
    <xf numFmtId="164" fontId="1" fillId="2" borderId="0" xfId="6" applyNumberFormat="1" applyFont="1" applyFill="1" applyBorder="1" applyAlignment="1">
      <alignment horizontal="right" vertical="center"/>
    </xf>
    <xf numFmtId="164" fontId="0" fillId="2" borderId="0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5" fillId="2" borderId="0" xfId="0" applyFont="1" applyFill="1"/>
    <xf numFmtId="0" fontId="3" fillId="0" borderId="0" xfId="0" applyFont="1" applyBorder="1" applyAlignment="1">
      <alignment horizontal="left" vertical="top" wrapText="1"/>
    </xf>
    <xf numFmtId="0" fontId="3" fillId="8" borderId="0" xfId="0" applyFont="1" applyFill="1" applyBorder="1" applyAlignment="1">
      <alignment horizontal="left" vertical="top" wrapText="1"/>
    </xf>
    <xf numFmtId="0" fontId="12" fillId="6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horizontal="left" vertical="top" wrapText="1"/>
    </xf>
    <xf numFmtId="0" fontId="12" fillId="5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3" fillId="7" borderId="0" xfId="0" applyFont="1" applyFill="1" applyBorder="1" applyAlignment="1">
      <alignment horizontal="left" vertical="center" wrapText="1"/>
    </xf>
    <xf numFmtId="0" fontId="3" fillId="8" borderId="0" xfId="0" applyFont="1" applyFill="1" applyBorder="1" applyAlignment="1">
      <alignment wrapText="1"/>
    </xf>
    <xf numFmtId="0" fontId="5" fillId="2" borderId="0" xfId="1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2" fillId="9" borderId="0" xfId="0" applyFont="1" applyFill="1" applyBorder="1" applyAlignment="1">
      <alignment horizontal="left" vertical="top" wrapText="1"/>
    </xf>
    <xf numFmtId="0" fontId="12" fillId="9" borderId="0" xfId="0" applyFont="1" applyFill="1" applyBorder="1" applyAlignment="1" applyProtection="1">
      <alignment horizontal="left" vertical="top" wrapText="1"/>
      <protection locked="0"/>
    </xf>
    <xf numFmtId="0" fontId="3" fillId="9" borderId="0" xfId="0" applyFont="1" applyFill="1" applyBorder="1" applyAlignment="1">
      <alignment horizontal="left" vertical="top" wrapText="1"/>
    </xf>
    <xf numFmtId="0" fontId="3" fillId="9" borderId="0" xfId="0" applyFont="1" applyFill="1" applyBorder="1" applyAlignment="1">
      <alignment horizontal="right" vertical="top" wrapText="1"/>
    </xf>
    <xf numFmtId="0" fontId="15" fillId="9" borderId="6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9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 vertical="top"/>
    </xf>
    <xf numFmtId="165" fontId="16" fillId="7" borderId="0" xfId="5" applyNumberFormat="1" applyFont="1" applyFill="1" applyBorder="1" applyAlignment="1" applyProtection="1">
      <alignment horizontal="left" vertical="top"/>
    </xf>
    <xf numFmtId="0" fontId="1" fillId="2" borderId="0" xfId="0" applyFont="1" applyFill="1"/>
    <xf numFmtId="0" fontId="5" fillId="2" borderId="0" xfId="1" applyFont="1" applyFill="1" applyBorder="1" applyAlignment="1">
      <alignment horizontal="left" vertical="top" wrapText="1"/>
    </xf>
    <xf numFmtId="17" fontId="0" fillId="3" borderId="4" xfId="0" applyNumberFormat="1" applyFill="1" applyBorder="1" applyAlignment="1">
      <alignment horizontal="right" vertical="center" wrapText="1"/>
    </xf>
    <xf numFmtId="17" fontId="0" fillId="3" borderId="2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/>
    <xf numFmtId="164" fontId="0" fillId="0" borderId="8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3" fillId="2" borderId="0" xfId="3" applyFont="1" applyFill="1" applyBorder="1"/>
    <xf numFmtId="0" fontId="2" fillId="3" borderId="12" xfId="0" applyFont="1" applyFill="1" applyBorder="1" applyAlignment="1">
      <alignment vertical="center"/>
    </xf>
    <xf numFmtId="0" fontId="0" fillId="3" borderId="13" xfId="0" applyFill="1" applyBorder="1"/>
    <xf numFmtId="164" fontId="0" fillId="10" borderId="14" xfId="0" applyNumberFormat="1" applyFill="1" applyBorder="1" applyAlignment="1">
      <alignment horizontal="right" vertical="center"/>
    </xf>
    <xf numFmtId="0" fontId="0" fillId="11" borderId="14" xfId="0" applyFill="1" applyBorder="1" applyAlignment="1">
      <alignment horizontal="right" vertical="center"/>
    </xf>
    <xf numFmtId="164" fontId="0" fillId="12" borderId="14" xfId="0" applyNumberFormat="1" applyFill="1" applyBorder="1" applyAlignment="1">
      <alignment horizontal="right" vertical="center"/>
    </xf>
    <xf numFmtId="0" fontId="0" fillId="13" borderId="14" xfId="0" applyFill="1" applyBorder="1" applyAlignment="1">
      <alignment horizontal="right" vertical="center"/>
    </xf>
    <xf numFmtId="0" fontId="0" fillId="14" borderId="14" xfId="0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left" vertical="center"/>
    </xf>
    <xf numFmtId="0" fontId="0" fillId="2" borderId="9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17" xfId="0" applyFill="1" applyBorder="1"/>
    <xf numFmtId="0" fontId="17" fillId="0" borderId="0" xfId="12"/>
    <xf numFmtId="0" fontId="17" fillId="0" borderId="0" xfId="12" applyBorder="1"/>
    <xf numFmtId="0" fontId="0" fillId="15" borderId="13" xfId="0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top" wrapText="1"/>
    </xf>
    <xf numFmtId="164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0" fontId="2" fillId="3" borderId="18" xfId="0" applyNumberFormat="1" applyFont="1" applyFill="1" applyBorder="1" applyAlignment="1">
      <alignment horizontal="right" vertical="center" wrapText="1"/>
    </xf>
    <xf numFmtId="0" fontId="5" fillId="2" borderId="0" xfId="1" applyFont="1" applyFill="1" applyBorder="1" applyAlignment="1">
      <alignment horizontal="left" vertical="top" wrapText="1"/>
    </xf>
  </cellXfs>
  <cellStyles count="13">
    <cellStyle name="Komma" xfId="5" builtinId="3"/>
    <cellStyle name="Komma 2" xfId="11" xr:uid="{00000000-0005-0000-0000-000001000000}"/>
    <cellStyle name="Link" xfId="12" builtinId="8"/>
    <cellStyle name="Prozent" xfId="6" builtinId="5"/>
    <cellStyle name="Prozent 2" xfId="7" xr:uid="{00000000-0005-0000-0000-000004000000}"/>
    <cellStyle name="Standard" xfId="0" builtinId="0"/>
    <cellStyle name="Standard 2" xfId="2" xr:uid="{00000000-0005-0000-0000-000006000000}"/>
    <cellStyle name="Standard 2 2" xfId="4" xr:uid="{00000000-0005-0000-0000-000007000000}"/>
    <cellStyle name="Standard 2 3" xfId="8" xr:uid="{00000000-0005-0000-0000-000008000000}"/>
    <cellStyle name="Standard 3" xfId="1" xr:uid="{00000000-0005-0000-0000-000009000000}"/>
    <cellStyle name="Standard 3 2" xfId="9" xr:uid="{00000000-0005-0000-0000-00000A000000}"/>
    <cellStyle name="Standard 4" xfId="3" xr:uid="{00000000-0005-0000-0000-00000B000000}"/>
    <cellStyle name="Standard 5" xfId="10" xr:uid="{00000000-0005-0000-0000-00000C000000}"/>
  </cellStyles>
  <dxfs count="6">
    <dxf>
      <fill>
        <patternFill>
          <bgColor rgb="FFF8696B"/>
        </patternFill>
      </fill>
    </dxf>
    <dxf>
      <fill>
        <patternFill>
          <bgColor rgb="FFFB9275"/>
        </patternFill>
      </fill>
    </dxf>
    <dxf>
      <fill>
        <patternFill>
          <bgColor rgb="FFFEBB72"/>
        </patternFill>
      </fill>
    </dxf>
    <dxf>
      <fill>
        <patternFill>
          <bgColor rgb="FFC8D54D"/>
        </patternFill>
      </fill>
    </dxf>
    <dxf>
      <fill>
        <patternFill>
          <bgColor rgb="FF87C45E"/>
        </patternFill>
      </fill>
    </dxf>
    <dxf>
      <fill>
        <patternFill>
          <bgColor rgb="FF4BB366"/>
        </patternFill>
      </fill>
    </dxf>
  </dxfs>
  <tableStyles count="0" defaultTableStyle="TableStyleMedium9" defaultPivotStyle="PivotStyleLight16"/>
  <colors>
    <mruColors>
      <color rgb="FF4BB366"/>
      <color rgb="FF87C45E"/>
      <color rgb="FF63BE7B"/>
      <color rgb="FFC8D54D"/>
      <color rgb="FFFEBB72"/>
      <color rgb="FFFB9275"/>
      <color rgb="FFF86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22225</xdr:colOff>
      <xdr:row>4</xdr:row>
      <xdr:rowOff>156602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0</xdr:row>
      <xdr:rowOff>19050</xdr:rowOff>
    </xdr:from>
    <xdr:to>
      <xdr:col>7</xdr:col>
      <xdr:colOff>781664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48250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1" name="Option Button 1" hidden="1">
                <a:extLst>
                  <a:ext uri="{63B3BB69-23CF-44E3-9099-C40C66FF867C}">
                    <a14:compatExt spid="_x0000_s15361"/>
                  </a:ext>
                  <a:ext uri="{FF2B5EF4-FFF2-40B4-BE49-F238E27FC236}">
                    <a16:creationId xmlns:a16="http://schemas.microsoft.com/office/drawing/2014/main" id="{00000000-0008-0000-0000-0000013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2" name="Option Button 2" hidden="1">
                <a:extLst>
                  <a:ext uri="{63B3BB69-23CF-44E3-9099-C40C66FF867C}">
                    <a14:compatExt spid="_x0000_s15362"/>
                  </a:ext>
                  <a:ext uri="{FF2B5EF4-FFF2-40B4-BE49-F238E27FC236}">
                    <a16:creationId xmlns:a16="http://schemas.microsoft.com/office/drawing/2014/main" id="{00000000-0008-0000-0000-0000023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3" name="Option Button 3" hidden="1">
                <a:extLst>
                  <a:ext uri="{63B3BB69-23CF-44E3-9099-C40C66FF867C}">
                    <a14:compatExt spid="_x0000_s15363"/>
                  </a:ext>
                  <a:ext uri="{FF2B5EF4-FFF2-40B4-BE49-F238E27FC236}">
                    <a16:creationId xmlns:a16="http://schemas.microsoft.com/office/drawing/2014/main" id="{00000000-0008-0000-0000-0000033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intwww.gr.ch/DE/institutionen/verwaltung/dvs/awt/statistik/Grundlagen_und_Uebersichten/Seiten/Gliederungen.aspx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s://intwww.gr.ch/DE/institutionen/verwaltung/dvs/awt/statistik/Grundlagen_und_Uebersichten/Seiten/Gliederungen.aspx" TargetMode="External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3"/>
  <dimension ref="A1:O102"/>
  <sheetViews>
    <sheetView tabSelected="1"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5" width="13.42578125" style="4" customWidth="1"/>
    <col min="16" max="16384" width="11.42578125" style="4"/>
  </cols>
  <sheetData>
    <row r="1" spans="1:15" s="15" customFormat="1" x14ac:dyDescent="0.2"/>
    <row r="2" spans="1:15" s="15" customFormat="1" ht="15.75" x14ac:dyDescent="0.25">
      <c r="B2" s="16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s="15" customFormat="1" ht="15.75" x14ac:dyDescent="0.25">
      <c r="B3" s="16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15" customFormat="1" ht="15.75" x14ac:dyDescent="0.25">
      <c r="B4" s="16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5" s="15" customFormat="1" x14ac:dyDescent="0.2"/>
    <row r="6" spans="1:15" s="15" customFormat="1" x14ac:dyDescent="0.2"/>
    <row r="7" spans="1:15" ht="15.75" customHeight="1" x14ac:dyDescent="0.2">
      <c r="A7" s="69" t="str">
        <f>VLOOKUP("&lt;Fachbereich&gt;",Uebersetzungen!$B$4:$E$95,Uebersetzungen!$B$2+1,FALSE)</f>
        <v>Daten &amp; Statistik</v>
      </c>
      <c r="B7" s="69"/>
      <c r="C7" s="69"/>
      <c r="D7" s="69"/>
      <c r="E7" s="39"/>
      <c r="F7" s="39"/>
      <c r="G7" s="39"/>
      <c r="H7" s="39"/>
      <c r="I7" s="39"/>
      <c r="J7" s="39"/>
      <c r="K7" s="39"/>
      <c r="L7" s="39"/>
      <c r="M7" s="25"/>
      <c r="N7" s="64"/>
      <c r="O7" s="1"/>
    </row>
    <row r="8" spans="1:15" ht="10.5" customHeight="1" x14ac:dyDescent="0.2"/>
    <row r="9" spans="1:15" ht="18" x14ac:dyDescent="0.25">
      <c r="A9" s="2" t="str">
        <f>VLOOKUP("&lt;Titel1&gt;",Uebersetzungen!$B$4:$E$95,Uebersetzungen!$B$2+1,FALSE)</f>
        <v>Hotel- und Kurbetriebe: Bruttozimmerauslastung* 2026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s="38" customFormat="1" x14ac:dyDescent="0.2">
      <c r="A10" s="35" t="str">
        <f>VLOOKUP("&lt;Titelprov&gt;",Uebersetzungen!$B$4:$E$95,Uebersetzungen!$B$2+1,FALSE)</f>
        <v>provisorische Ergebnisse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ht="13.5" thickBot="1" x14ac:dyDescent="0.25"/>
    <row r="12" spans="1:15" ht="24" customHeight="1" thickBot="1" x14ac:dyDescent="0.25">
      <c r="A12" s="48" t="str">
        <f>VLOOKUP("&lt;Spaltentitel_1&gt;",Uebersetzungen!$B$4:$E$48,Uebersetzungen!$B$2+1,FALSE)</f>
        <v>Destination</v>
      </c>
      <c r="B12" s="49"/>
      <c r="C12" s="41" t="str">
        <f>VLOOKUP("&lt;Spaltentitel_2&gt;",Uebersetzungen!$B$4:$E$48,Uebersetzungen!$B$2+1,FALSE)</f>
        <v>Januar</v>
      </c>
      <c r="D12" s="5" t="str">
        <f>VLOOKUP("&lt;Spaltentitel_3&gt;",Uebersetzungen!$B$4:$E$48,Uebersetzungen!$B$2+1,FALSE)</f>
        <v>Februar</v>
      </c>
      <c r="E12" s="40" t="str">
        <f>VLOOKUP("&lt;Spaltentitel_4&gt;",Uebersetzungen!$B$4:$E$48,Uebersetzungen!$B$2+1,FALSE)</f>
        <v>März</v>
      </c>
      <c r="F12" s="40" t="str">
        <f>VLOOKUP("&lt;Spaltentitel_5&gt;",Uebersetzungen!$B$4:$E$48,Uebersetzungen!$B$2+1,FALSE)</f>
        <v>April</v>
      </c>
      <c r="G12" s="40" t="str">
        <f>VLOOKUP("&lt;Spaltentitel_6&gt;",Uebersetzungen!$B$4:$E$48,Uebersetzungen!$B$2+1,FALSE)</f>
        <v>Mai</v>
      </c>
      <c r="H12" s="40" t="str">
        <f>VLOOKUP("&lt;Spaltentitel_7&gt;",Uebersetzungen!$B$4:$E$48,Uebersetzungen!$B$2+1,FALSE)</f>
        <v>Juni</v>
      </c>
      <c r="I12" s="40" t="str">
        <f>VLOOKUP("&lt;Spaltentitel_8&gt;",Uebersetzungen!$B$4:$E$48,Uebersetzungen!$B$2+1,FALSE)</f>
        <v>Juli</v>
      </c>
      <c r="J12" s="40" t="str">
        <f>VLOOKUP("&lt;Spaltentitel_9&gt;",Uebersetzungen!$B$4:$E$48,Uebersetzungen!$B$2+1,FALSE)</f>
        <v>August</v>
      </c>
      <c r="K12" s="40" t="str">
        <f>VLOOKUP("&lt;Spaltentitel_10&gt;",Uebersetzungen!$B$4:$E$48,Uebersetzungen!$B$2+1,FALSE)</f>
        <v>September</v>
      </c>
      <c r="L12" s="40" t="str">
        <f>VLOOKUP("&lt;Spaltentitel_11&gt;",Uebersetzungen!$B$4:$E$48,Uebersetzungen!$B$2+1,FALSE)</f>
        <v>Oktober</v>
      </c>
      <c r="M12" s="6" t="str">
        <f>VLOOKUP("&lt;Spaltentitel_12&gt;",Uebersetzungen!$B$4:$E$48,Uebersetzungen!$B$2+1,FALSE)</f>
        <v>November</v>
      </c>
      <c r="N12" s="6" t="str">
        <f>VLOOKUP("&lt;Spaltentitel_13&gt;",Uebersetzungen!$B$4:$E$48,Uebersetzungen!$B$2+1,FALSE)</f>
        <v>Dezember</v>
      </c>
      <c r="O12" s="68" t="str">
        <f>VLOOKUP("&lt;Spaltentitel_14&gt;",Uebersetzungen!$B$4:$E$48,Uebersetzungen!$B$2+1,FALSE)</f>
        <v>Jahresdurch-
schnitt</v>
      </c>
    </row>
    <row r="13" spans="1:15" ht="24" customHeight="1" x14ac:dyDescent="0.2">
      <c r="A13" s="56" t="str">
        <f>VLOOKUP("&lt;Zeilentitel_25&gt;",Uebersetzungen!$B$4:$E$48,Uebersetzungen!$B$2+1,FALSE)</f>
        <v>Arosa</v>
      </c>
      <c r="B13" s="57"/>
      <c r="C13" s="44">
        <v>0.64803454962101181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65"/>
    </row>
    <row r="14" spans="1:15" ht="24" customHeight="1" x14ac:dyDescent="0.2">
      <c r="A14" s="7" t="str">
        <f>VLOOKUP("&lt;Zeilentitel_26&gt;",Uebersetzungen!$B$4:$E$48,Uebersetzungen!$B$2+1,FALSE)</f>
        <v>Bergün Filisur</v>
      </c>
      <c r="B14" s="58"/>
      <c r="C14" s="45">
        <v>0.56022491861497481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66"/>
    </row>
    <row r="15" spans="1:15" ht="24" customHeight="1" x14ac:dyDescent="0.2">
      <c r="A15" s="7" t="str">
        <f>VLOOKUP("&lt;Zeilentitel_27&gt;",Uebersetzungen!$B$4:$E$48,Uebersetzungen!$B$2+1,FALSE)</f>
        <v>Bregaglia Engadin</v>
      </c>
      <c r="B15" s="58"/>
      <c r="C15" s="45">
        <v>0.26088223863194715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66"/>
    </row>
    <row r="16" spans="1:15" ht="24" customHeight="1" x14ac:dyDescent="0.2">
      <c r="A16" s="7" t="str">
        <f>VLOOKUP("&lt;Zeilentitel_28&gt;",Uebersetzungen!$B$4:$E$48,Uebersetzungen!$B$2+1,FALSE)</f>
        <v>Bündner Herrschaft</v>
      </c>
      <c r="B16" s="58"/>
      <c r="C16" s="45">
        <v>0.42241247515670388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66"/>
    </row>
    <row r="17" spans="1:15" ht="24" customHeight="1" x14ac:dyDescent="0.2">
      <c r="A17" s="7" t="str">
        <f>VLOOKUP("&lt;Zeilentitel_29&gt;",Uebersetzungen!$B$4:$E$48,Uebersetzungen!$B$2+1,FALSE)</f>
        <v>Chur</v>
      </c>
      <c r="B17" s="58"/>
      <c r="C17" s="45">
        <v>0.65428724806012395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66"/>
    </row>
    <row r="18" spans="1:15" ht="24" customHeight="1" x14ac:dyDescent="0.2">
      <c r="A18" s="7" t="str">
        <f>VLOOKUP("&lt;Zeilentitel_30&gt;",Uebersetzungen!$B$4:$E$48,Uebersetzungen!$B$2+1,FALSE)</f>
        <v>Davos Klosters</v>
      </c>
      <c r="B18" s="58"/>
      <c r="C18" s="45">
        <v>0.60566777208320777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66"/>
    </row>
    <row r="19" spans="1:15" ht="24" customHeight="1" x14ac:dyDescent="0.2">
      <c r="A19" s="7" t="str">
        <f>VLOOKUP("&lt;Zeilentitel_31&gt;",Uebersetzungen!$B$4:$E$48,Uebersetzungen!$B$2+1,FALSE)</f>
        <v>Disentis Sedrun</v>
      </c>
      <c r="B19" s="58"/>
      <c r="C19" s="45">
        <v>0.45240264868477004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66"/>
    </row>
    <row r="20" spans="1:15" ht="24" customHeight="1" x14ac:dyDescent="0.2">
      <c r="A20" s="7" t="str">
        <f>VLOOKUP("&lt;Zeilentitel_32&gt;",Uebersetzungen!$B$4:$E$48,Uebersetzungen!$B$2+1,FALSE)</f>
        <v>Scuol Samnaun Val Müstair</v>
      </c>
      <c r="B20" s="58"/>
      <c r="C20" s="45">
        <v>0.54991958243559014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66"/>
    </row>
    <row r="21" spans="1:15" ht="24" customHeight="1" x14ac:dyDescent="0.2">
      <c r="A21" s="7" t="str">
        <f>VLOOKUP("&lt;Zeilentitel_33&gt;",Uebersetzungen!$B$4:$E$48,Uebersetzungen!$B$2+1,FALSE)</f>
        <v>Engadin St. Moritz</v>
      </c>
      <c r="B21" s="58"/>
      <c r="C21" s="45">
        <v>0.69610467642688156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66"/>
    </row>
    <row r="22" spans="1:15" ht="24" customHeight="1" x14ac:dyDescent="0.2">
      <c r="A22" s="7" t="str">
        <f>VLOOKUP("&lt;Zeilentitel_34&gt;",Uebersetzungen!$B$4:$E$48,Uebersetzungen!$B$2+1,FALSE)</f>
        <v>Flims Laax</v>
      </c>
      <c r="B22" s="58"/>
      <c r="C22" s="45">
        <v>0.66560683904657625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66"/>
    </row>
    <row r="23" spans="1:15" ht="24" customHeight="1" x14ac:dyDescent="0.2">
      <c r="A23" s="7" t="str">
        <f>VLOOKUP("&lt;Zeilentitel_35&gt;",Uebersetzungen!$B$4:$E$48,Uebersetzungen!$B$2+1,FALSE)</f>
        <v>Lenzerheide</v>
      </c>
      <c r="B23" s="58"/>
      <c r="C23" s="45">
        <v>0.71234865422026072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66"/>
    </row>
    <row r="24" spans="1:15" ht="24" customHeight="1" x14ac:dyDescent="0.2">
      <c r="A24" s="7" t="str">
        <f>VLOOKUP("&lt;Zeilentitel_36&gt;",Uebersetzungen!$B$4:$E$48,Uebersetzungen!$B$2+1,FALSE)</f>
        <v>Prättigau</v>
      </c>
      <c r="B24" s="58"/>
      <c r="C24" s="45">
        <v>0.58370411568409342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66"/>
    </row>
    <row r="25" spans="1:15" ht="24" customHeight="1" x14ac:dyDescent="0.2">
      <c r="A25" s="7" t="str">
        <f>VLOOKUP("&lt;Zeilentitel_37&gt;",Uebersetzungen!$B$4:$E$48,Uebersetzungen!$B$2+1,FALSE)</f>
        <v>San Bernardino, Mesolcina/Calanca</v>
      </c>
      <c r="B25" s="58"/>
      <c r="C25" s="45">
        <v>0.32528205943111393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66"/>
    </row>
    <row r="26" spans="1:15" ht="24" customHeight="1" x14ac:dyDescent="0.2">
      <c r="A26" s="7" t="str">
        <f>VLOOKUP("&lt;Zeilentitel_38&gt;",Uebersetzungen!$B$4:$E$48,Uebersetzungen!$B$2+1,FALSE)</f>
        <v>Val Surses</v>
      </c>
      <c r="B26" s="58"/>
      <c r="C26" s="45">
        <v>0.43996597526663611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66"/>
    </row>
    <row r="27" spans="1:15" ht="24" customHeight="1" x14ac:dyDescent="0.2">
      <c r="A27" s="7" t="str">
        <f>VLOOKUP("&lt;Zeilentitel_39&gt;",Uebersetzungen!$B$4:$E$48,Uebersetzungen!$B$2+1,FALSE)</f>
        <v>Surselva</v>
      </c>
      <c r="B27" s="58"/>
      <c r="C27" s="45">
        <v>0.41461100569259962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66"/>
    </row>
    <row r="28" spans="1:15" ht="24" customHeight="1" x14ac:dyDescent="0.2">
      <c r="A28" s="7" t="str">
        <f>VLOOKUP("&lt;Zeilentitel_40&gt;",Uebersetzungen!$B$4:$E$48,Uebersetzungen!$B$2+1,FALSE)</f>
        <v>Valposchiavo</v>
      </c>
      <c r="B28" s="58"/>
      <c r="C28" s="45">
        <v>0.53680954485196641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66"/>
    </row>
    <row r="29" spans="1:15" ht="24" customHeight="1" x14ac:dyDescent="0.2">
      <c r="A29" s="7" t="str">
        <f>VLOOKUP("&lt;Zeilentitel_41&gt;",Uebersetzungen!$B$4:$E$48,Uebersetzungen!$B$2+1,FALSE)</f>
        <v>Vals</v>
      </c>
      <c r="B29" s="58"/>
      <c r="C29" s="45">
        <v>0.48663594470046084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66"/>
    </row>
    <row r="30" spans="1:15" ht="24" customHeight="1" x14ac:dyDescent="0.2">
      <c r="A30" s="7" t="str">
        <f>VLOOKUP("&lt;Zeilentitel_42&gt;",Uebersetzungen!$B$4:$E$48,Uebersetzungen!$B$2+1,FALSE)</f>
        <v>Viamala</v>
      </c>
      <c r="B30" s="59"/>
      <c r="C30" s="45">
        <v>0.31042819876566774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66"/>
    </row>
    <row r="31" spans="1:15" ht="24" customHeight="1" thickBot="1" x14ac:dyDescent="0.25">
      <c r="A31" s="8" t="str">
        <f>VLOOKUP("&lt;Zeilentitel_43&gt;",Uebersetzungen!$B$4:$E$48,Uebersetzungen!$B$2+1,FALSE)</f>
        <v>Graubünden</v>
      </c>
      <c r="B31" s="60"/>
      <c r="C31" s="46">
        <v>0.60755848793830869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67"/>
    </row>
    <row r="32" spans="1:15" ht="24" customHeight="1" thickBot="1" x14ac:dyDescent="0.25">
      <c r="A32" s="42"/>
      <c r="B32" s="43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3"/>
      <c r="N32" s="13"/>
      <c r="O32" s="13"/>
    </row>
    <row r="33" spans="1:15" ht="24" customHeight="1" thickBot="1" x14ac:dyDescent="0.25">
      <c r="A33" s="42"/>
      <c r="B33" s="55" t="str">
        <f>VLOOKUP("&lt;Zeilentitel_44&gt;",Uebersetzungen!$B$4:$E$48,Uebersetzungen!$B$2+1,FALSE)</f>
        <v>Farbskala:</v>
      </c>
      <c r="C33" s="50" t="s">
        <v>144</v>
      </c>
      <c r="D33" s="51" t="s">
        <v>139</v>
      </c>
      <c r="E33" s="52" t="s">
        <v>140</v>
      </c>
      <c r="F33" s="53" t="s">
        <v>142</v>
      </c>
      <c r="G33" s="54" t="s">
        <v>141</v>
      </c>
      <c r="H33" s="63" t="s">
        <v>143</v>
      </c>
      <c r="I33" s="12"/>
      <c r="J33" s="12"/>
      <c r="K33" s="12"/>
      <c r="L33" s="12"/>
      <c r="M33" s="13"/>
      <c r="N33" s="13"/>
      <c r="O33" s="13"/>
    </row>
    <row r="34" spans="1:15" ht="24" customHeight="1" x14ac:dyDescent="0.2">
      <c r="A34" s="42"/>
      <c r="B34" s="4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  <c r="N34" s="13"/>
      <c r="O34" s="13"/>
    </row>
    <row r="35" spans="1:15" x14ac:dyDescent="0.2">
      <c r="A35" s="47" t="str">
        <f>VLOOKUP("&lt;Legende_1&gt;",Uebersetzungen!$B$4:$E$56,Uebersetzungen!$B$2+1,FALSE)</f>
        <v>Aktuelle Zuordnung der politischen Gemeinden zu Destinationen:</v>
      </c>
      <c r="B35" s="11"/>
      <c r="C35" s="9"/>
      <c r="D35" s="12"/>
      <c r="E35" s="62" t="s">
        <v>133</v>
      </c>
      <c r="F35" s="12"/>
      <c r="G35" s="12"/>
      <c r="H35" s="12"/>
      <c r="I35" s="12"/>
      <c r="J35" s="12"/>
      <c r="K35" s="12"/>
      <c r="L35" s="12"/>
      <c r="M35" s="13"/>
      <c r="N35" s="13"/>
      <c r="O35" s="14"/>
    </row>
    <row r="36" spans="1:15" x14ac:dyDescent="0.2">
      <c r="A36" s="47" t="str">
        <f>VLOOKUP("&lt;Legende_3&gt;",Uebersetzungen!$B$4:$E$56,Uebersetzungen!$B$2+1,FALSE)</f>
        <v>* Berechnungsgrundlage: Bruttozimmerauslastung = Zimmernächte / (Zimmer * Anzahl Kalendertage)</v>
      </c>
      <c r="B36" s="11"/>
      <c r="C36" s="9"/>
      <c r="D36" s="12"/>
      <c r="E36" s="12"/>
      <c r="F36" s="12"/>
      <c r="G36" s="12"/>
      <c r="H36" s="12"/>
      <c r="I36" s="12"/>
      <c r="J36" s="12"/>
      <c r="K36" s="12"/>
      <c r="L36" s="12"/>
      <c r="M36" s="13"/>
      <c r="N36" s="13"/>
      <c r="O36" s="14"/>
    </row>
    <row r="37" spans="1:15" x14ac:dyDescent="0.2">
      <c r="A37" s="47"/>
      <c r="B37" s="11"/>
      <c r="C37" s="9"/>
      <c r="D37" s="12"/>
      <c r="E37" s="61"/>
      <c r="F37" s="12"/>
      <c r="G37" s="12"/>
      <c r="H37" s="12"/>
      <c r="I37" s="12"/>
      <c r="J37" s="12"/>
      <c r="K37" s="12"/>
      <c r="L37" s="12"/>
      <c r="M37" s="13"/>
      <c r="N37" s="13"/>
      <c r="O37" s="14"/>
    </row>
    <row r="38" spans="1:15" x14ac:dyDescent="0.2">
      <c r="A38" s="42"/>
      <c r="B38" s="4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3"/>
      <c r="N38" s="13"/>
      <c r="O38" s="13"/>
    </row>
    <row r="39" spans="1:15" ht="18" x14ac:dyDescent="0.25">
      <c r="A39" s="2" t="str">
        <f>VLOOKUP("&lt;Titel2&gt;",Uebersetzungen!$B$4:$E$95,Uebersetzungen!$B$2+1,FALSE)</f>
        <v>Hotel- und Kurbetriebe: Bruttozimmerauslastung* 2025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38" customFormat="1" x14ac:dyDescent="0.2">
      <c r="A40" s="35" t="str">
        <f>VLOOKUP("&lt;Titeldef&gt;",Uebersetzungen!$B$4:$E$95,Uebersetzungen!$B$2+1,FALSE)</f>
        <v>definitive Ergebnisse</v>
      </c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</row>
    <row r="41" spans="1:15" ht="13.5" thickBot="1" x14ac:dyDescent="0.25"/>
    <row r="42" spans="1:15" ht="24" customHeight="1" thickBot="1" x14ac:dyDescent="0.25">
      <c r="A42" s="48" t="str">
        <f>VLOOKUP("&lt;Spaltentitel_1&gt;",Uebersetzungen!$B$4:$E$48,Uebersetzungen!$B$2+1,FALSE)</f>
        <v>Destination</v>
      </c>
      <c r="B42" s="49"/>
      <c r="C42" s="41" t="str">
        <f>VLOOKUP("&lt;Spaltentitel_2&gt;",Uebersetzungen!$B$4:$E$48,Uebersetzungen!$B$2+1,FALSE)</f>
        <v>Januar</v>
      </c>
      <c r="D42" s="5" t="str">
        <f>VLOOKUP("&lt;Spaltentitel_3&gt;",Uebersetzungen!$B$4:$E$48,Uebersetzungen!$B$2+1,FALSE)</f>
        <v>Februar</v>
      </c>
      <c r="E42" s="40" t="str">
        <f>VLOOKUP("&lt;Spaltentitel_4&gt;",Uebersetzungen!$B$4:$E$48,Uebersetzungen!$B$2+1,FALSE)</f>
        <v>März</v>
      </c>
      <c r="F42" s="40" t="str">
        <f>VLOOKUP("&lt;Spaltentitel_5&gt;",Uebersetzungen!$B$4:$E$48,Uebersetzungen!$B$2+1,FALSE)</f>
        <v>April</v>
      </c>
      <c r="G42" s="40" t="str">
        <f>VLOOKUP("&lt;Spaltentitel_6&gt;",Uebersetzungen!$B$4:$E$48,Uebersetzungen!$B$2+1,FALSE)</f>
        <v>Mai</v>
      </c>
      <c r="H42" s="40" t="str">
        <f>VLOOKUP("&lt;Spaltentitel_7&gt;",Uebersetzungen!$B$4:$E$48,Uebersetzungen!$B$2+1,FALSE)</f>
        <v>Juni</v>
      </c>
      <c r="I42" s="40" t="str">
        <f>VLOOKUP("&lt;Spaltentitel_8&gt;",Uebersetzungen!$B$4:$E$48,Uebersetzungen!$B$2+1,FALSE)</f>
        <v>Juli</v>
      </c>
      <c r="J42" s="40" t="str">
        <f>VLOOKUP("&lt;Spaltentitel_9&gt;",Uebersetzungen!$B$4:$E$48,Uebersetzungen!$B$2+1,FALSE)</f>
        <v>August</v>
      </c>
      <c r="K42" s="40" t="str">
        <f>VLOOKUP("&lt;Spaltentitel_10&gt;",Uebersetzungen!$B$4:$E$48,Uebersetzungen!$B$2+1,FALSE)</f>
        <v>September</v>
      </c>
      <c r="L42" s="40" t="str">
        <f>VLOOKUP("&lt;Spaltentitel_11&gt;",Uebersetzungen!$B$4:$E$48,Uebersetzungen!$B$2+1,FALSE)</f>
        <v>Oktober</v>
      </c>
      <c r="M42" s="6" t="str">
        <f>VLOOKUP("&lt;Spaltentitel_12&gt;",Uebersetzungen!$B$4:$E$48,Uebersetzungen!$B$2+1,FALSE)</f>
        <v>November</v>
      </c>
      <c r="N42" s="6" t="str">
        <f>VLOOKUP("&lt;Spaltentitel_13&gt;",Uebersetzungen!$B$4:$E$48,Uebersetzungen!$B$2+1,FALSE)</f>
        <v>Dezember</v>
      </c>
      <c r="O42" s="68" t="str">
        <f>VLOOKUP("&lt;Spaltentitel_14&gt;",Uebersetzungen!$B$4:$E$48,Uebersetzungen!$B$2+1,FALSE)</f>
        <v>Jahresdurch-
schnitt</v>
      </c>
    </row>
    <row r="43" spans="1:15" ht="24" customHeight="1" x14ac:dyDescent="0.2">
      <c r="A43" s="56" t="str">
        <f>VLOOKUP("&lt;Zeilentitel_25&gt;",Uebersetzungen!$B$4:$E$48,Uebersetzungen!$B$2+1,FALSE)</f>
        <v>Arosa</v>
      </c>
      <c r="B43" s="57"/>
      <c r="C43" s="44">
        <v>0.69405380482008905</v>
      </c>
      <c r="D43" s="44">
        <v>0.73580460221471766</v>
      </c>
      <c r="E43" s="44">
        <v>0.59477912358793383</v>
      </c>
      <c r="F43" s="44">
        <v>9.0092081031307544E-2</v>
      </c>
      <c r="G43" s="44">
        <v>1.8071644983068971E-2</v>
      </c>
      <c r="H43" s="44">
        <v>0.14438925680647535</v>
      </c>
      <c r="I43" s="44">
        <v>0.38216549170405184</v>
      </c>
      <c r="J43" s="44">
        <v>0.35918251085950298</v>
      </c>
      <c r="K43" s="44">
        <v>0.22411699779249447</v>
      </c>
      <c r="L43" s="44">
        <v>0.12105675425478886</v>
      </c>
      <c r="M43" s="44">
        <v>6.8285504047093451E-2</v>
      </c>
      <c r="N43" s="44">
        <v>0.5153677277716795</v>
      </c>
      <c r="O43" s="65">
        <v>0.32822952236952135</v>
      </c>
    </row>
    <row r="44" spans="1:15" ht="24" customHeight="1" x14ac:dyDescent="0.2">
      <c r="A44" s="7" t="str">
        <f>VLOOKUP("&lt;Zeilentitel_26&gt;",Uebersetzungen!$B$4:$E$48,Uebersetzungen!$B$2+1,FALSE)</f>
        <v>Bergün Filisur</v>
      </c>
      <c r="B44" s="58"/>
      <c r="C44" s="45">
        <v>0.64516129032258063</v>
      </c>
      <c r="D44" s="45">
        <v>0.71510484927916118</v>
      </c>
      <c r="E44" s="45">
        <v>0.41018052678307193</v>
      </c>
      <c r="F44" s="45">
        <v>3.3180428134556572E-2</v>
      </c>
      <c r="G44" s="45">
        <v>0.31044687777448948</v>
      </c>
      <c r="H44" s="45">
        <v>0.55565749235474005</v>
      </c>
      <c r="I44" s="45">
        <v>0.70509026339153591</v>
      </c>
      <c r="J44" s="45">
        <v>0.65640722107132288</v>
      </c>
      <c r="K44" s="45">
        <v>0.58241590214067274</v>
      </c>
      <c r="L44" s="45">
        <v>0.41817105652559927</v>
      </c>
      <c r="M44" s="45">
        <v>5.0152905198776757E-2</v>
      </c>
      <c r="N44" s="45">
        <v>0.32864752885469073</v>
      </c>
      <c r="O44" s="66">
        <v>0.45030790498931761</v>
      </c>
    </row>
    <row r="45" spans="1:15" ht="24" customHeight="1" x14ac:dyDescent="0.2">
      <c r="A45" s="7" t="str">
        <f>VLOOKUP("&lt;Zeilentitel_27&gt;",Uebersetzungen!$B$4:$E$48,Uebersetzungen!$B$2+1,FALSE)</f>
        <v>Bregaglia Engadin</v>
      </c>
      <c r="B45" s="58"/>
      <c r="C45" s="45">
        <v>0.20569374271278662</v>
      </c>
      <c r="D45" s="45">
        <v>0.27237521514629948</v>
      </c>
      <c r="E45" s="45">
        <v>0.24300427516517684</v>
      </c>
      <c r="F45" s="45">
        <v>5.7028112449799197E-2</v>
      </c>
      <c r="G45" s="45">
        <v>8.2879906723668864E-2</v>
      </c>
      <c r="H45" s="45">
        <v>0.28514056224899598</v>
      </c>
      <c r="I45" s="45">
        <v>0.46414691022153126</v>
      </c>
      <c r="J45" s="45">
        <v>0.54061406917994559</v>
      </c>
      <c r="K45" s="45">
        <v>0.33293172690763051</v>
      </c>
      <c r="L45" s="45">
        <v>0.28254955305091334</v>
      </c>
      <c r="M45" s="45">
        <v>2.7610441767068273E-2</v>
      </c>
      <c r="N45" s="45">
        <v>0.21288379323746598</v>
      </c>
      <c r="O45" s="66">
        <v>0.25121307146393795</v>
      </c>
    </row>
    <row r="46" spans="1:15" ht="24" customHeight="1" x14ac:dyDescent="0.2">
      <c r="A46" s="7" t="str">
        <f>VLOOKUP("&lt;Zeilentitel_28&gt;",Uebersetzungen!$B$4:$E$48,Uebersetzungen!$B$2+1,FALSE)</f>
        <v>Bündner Herrschaft</v>
      </c>
      <c r="B46" s="58"/>
      <c r="C46" s="45">
        <v>0.41321044546850999</v>
      </c>
      <c r="D46" s="45">
        <v>0.51275510204081631</v>
      </c>
      <c r="E46" s="45">
        <v>0.42319508448540705</v>
      </c>
      <c r="F46" s="45">
        <v>0.38936507936507936</v>
      </c>
      <c r="G46" s="45">
        <v>0.58033794162826424</v>
      </c>
      <c r="H46" s="45">
        <v>0.6549206349206349</v>
      </c>
      <c r="I46" s="45">
        <v>0.58233486943164359</v>
      </c>
      <c r="J46" s="45">
        <v>0.67419354838709677</v>
      </c>
      <c r="K46" s="45">
        <v>0.66285714285714281</v>
      </c>
      <c r="L46" s="45">
        <v>0.52657450076804913</v>
      </c>
      <c r="M46" s="45">
        <v>0.48063492063492064</v>
      </c>
      <c r="N46" s="45">
        <v>0.39938556067588327</v>
      </c>
      <c r="O46" s="66">
        <v>0.52484018264840182</v>
      </c>
    </row>
    <row r="47" spans="1:15" ht="24" customHeight="1" x14ac:dyDescent="0.2">
      <c r="A47" s="7" t="str">
        <f>VLOOKUP("&lt;Zeilentitel_29&gt;",Uebersetzungen!$B$4:$E$48,Uebersetzungen!$B$2+1,FALSE)</f>
        <v>Chur</v>
      </c>
      <c r="B47" s="58"/>
      <c r="C47" s="45">
        <v>0.60226440876482357</v>
      </c>
      <c r="D47" s="45">
        <v>0.73995029176572291</v>
      </c>
      <c r="E47" s="45">
        <v>0.60977990337221222</v>
      </c>
      <c r="F47" s="45">
        <v>0.60766515380736263</v>
      </c>
      <c r="G47" s="45">
        <v>0.71450880874530287</v>
      </c>
      <c r="H47" s="45">
        <v>0.78335854765506807</v>
      </c>
      <c r="I47" s="45">
        <v>0.75047581865209112</v>
      </c>
      <c r="J47" s="45">
        <v>0.78517397881996975</v>
      </c>
      <c r="K47" s="45">
        <v>0.82148260211800306</v>
      </c>
      <c r="L47" s="45">
        <v>0.69933141379142061</v>
      </c>
      <c r="M47" s="45">
        <v>0.53393847705496722</v>
      </c>
      <c r="N47" s="45">
        <v>0.66287638475428234</v>
      </c>
      <c r="O47" s="66">
        <v>0.69224296934905605</v>
      </c>
    </row>
    <row r="48" spans="1:15" ht="24" customHeight="1" x14ac:dyDescent="0.2">
      <c r="A48" s="7" t="str">
        <f>VLOOKUP("&lt;Zeilentitel_30&gt;",Uebersetzungen!$B$4:$E$48,Uebersetzungen!$B$2+1,FALSE)</f>
        <v>Davos Klosters</v>
      </c>
      <c r="B48" s="58"/>
      <c r="C48" s="45">
        <v>0.59997790543526297</v>
      </c>
      <c r="D48" s="45">
        <v>0.64808021521154313</v>
      </c>
      <c r="E48" s="45">
        <v>0.50794815358278311</v>
      </c>
      <c r="F48" s="45">
        <v>0.1523926380368098</v>
      </c>
      <c r="G48" s="45">
        <v>0.12941223035820304</v>
      </c>
      <c r="H48" s="45">
        <v>0.34116319879669088</v>
      </c>
      <c r="I48" s="45">
        <v>0.45308469258201989</v>
      </c>
      <c r="J48" s="45">
        <v>0.49833900469604997</v>
      </c>
      <c r="K48" s="45">
        <v>0.40435980957153594</v>
      </c>
      <c r="L48" s="45">
        <v>0.25334185138162202</v>
      </c>
      <c r="M48" s="45">
        <v>0.11957884181499123</v>
      </c>
      <c r="N48" s="45">
        <v>0.58795116386320057</v>
      </c>
      <c r="O48" s="66">
        <v>0.39094186193800723</v>
      </c>
    </row>
    <row r="49" spans="1:15" ht="24" customHeight="1" x14ac:dyDescent="0.2">
      <c r="A49" s="7" t="str">
        <f>VLOOKUP("&lt;Zeilentitel_31&gt;",Uebersetzungen!$B$4:$E$48,Uebersetzungen!$B$2+1,FALSE)</f>
        <v>Disentis Sedrun</v>
      </c>
      <c r="B49" s="58"/>
      <c r="C49" s="45">
        <v>0.43114027094344209</v>
      </c>
      <c r="D49" s="45">
        <v>0.77777777777777779</v>
      </c>
      <c r="E49" s="45">
        <v>0.40684041066763865</v>
      </c>
      <c r="F49" s="45">
        <v>9.8995605775266796E-2</v>
      </c>
      <c r="G49" s="45">
        <v>0.10825587752870421</v>
      </c>
      <c r="H49" s="45">
        <v>0.35210295040803513</v>
      </c>
      <c r="I49" s="45">
        <v>0.78354899459328109</v>
      </c>
      <c r="J49" s="45">
        <v>0.51880201688840288</v>
      </c>
      <c r="K49" s="45">
        <v>0.37570621468926552</v>
      </c>
      <c r="L49" s="45">
        <v>0.24330235101148168</v>
      </c>
      <c r="M49" s="45">
        <v>4.2812303829252982E-2</v>
      </c>
      <c r="N49" s="45">
        <v>0.24245185590182858</v>
      </c>
      <c r="O49" s="66">
        <v>0.36337228800660426</v>
      </c>
    </row>
    <row r="50" spans="1:15" ht="24" customHeight="1" x14ac:dyDescent="0.2">
      <c r="A50" s="7" t="str">
        <f>VLOOKUP("&lt;Zeilentitel_32&gt;",Uebersetzungen!$B$4:$E$48,Uebersetzungen!$B$2+1,FALSE)</f>
        <v>Scuol Samnaun Val Müstair</v>
      </c>
      <c r="B50" s="58"/>
      <c r="C50" s="45">
        <v>0.54672293130859873</v>
      </c>
      <c r="D50" s="45">
        <v>0.63995515103548339</v>
      </c>
      <c r="E50" s="45">
        <v>0.48530068805289966</v>
      </c>
      <c r="F50" s="45">
        <v>0.20860264696829794</v>
      </c>
      <c r="G50" s="45">
        <v>0.1192476096863551</v>
      </c>
      <c r="H50" s="45">
        <v>0.35917205293936594</v>
      </c>
      <c r="I50" s="45">
        <v>0.50381450111131132</v>
      </c>
      <c r="J50" s="45">
        <v>0.56977233135099414</v>
      </c>
      <c r="K50" s="45">
        <v>0.43244920117884289</v>
      </c>
      <c r="L50" s="45">
        <v>0.39274080967892044</v>
      </c>
      <c r="M50" s="45">
        <v>0.10317534803691537</v>
      </c>
      <c r="N50" s="45">
        <v>0.3992656207325585</v>
      </c>
      <c r="O50" s="66">
        <v>0.39618905508489838</v>
      </c>
    </row>
    <row r="51" spans="1:15" ht="24" customHeight="1" x14ac:dyDescent="0.2">
      <c r="A51" s="7" t="str">
        <f>VLOOKUP("&lt;Zeilentitel_33&gt;",Uebersetzungen!$B$4:$E$48,Uebersetzungen!$B$2+1,FALSE)</f>
        <v>Engadin St. Moritz</v>
      </c>
      <c r="B51" s="58"/>
      <c r="C51" s="45">
        <v>0.71034332187107696</v>
      </c>
      <c r="D51" s="45">
        <v>0.77375311268525016</v>
      </c>
      <c r="E51" s="45">
        <v>0.6452868505669318</v>
      </c>
      <c r="F51" s="45">
        <v>0.15689625994246065</v>
      </c>
      <c r="G51" s="45">
        <v>0.13260132830534652</v>
      </c>
      <c r="H51" s="45">
        <v>0.38816225630653406</v>
      </c>
      <c r="I51" s="45">
        <v>0.57393356938121731</v>
      </c>
      <c r="J51" s="45">
        <v>0.63659503646776638</v>
      </c>
      <c r="K51" s="45">
        <v>0.46657624053351421</v>
      </c>
      <c r="L51" s="45">
        <v>0.3541098982383431</v>
      </c>
      <c r="M51" s="45">
        <v>0.1079638059911201</v>
      </c>
      <c r="N51" s="45">
        <v>0.56937258656111178</v>
      </c>
      <c r="O51" s="66">
        <v>0.45909949053757787</v>
      </c>
    </row>
    <row r="52" spans="1:15" ht="24" customHeight="1" x14ac:dyDescent="0.2">
      <c r="A52" s="7" t="str">
        <f>VLOOKUP("&lt;Zeilentitel_34&gt;",Uebersetzungen!$B$4:$E$48,Uebersetzungen!$B$2+1,FALSE)</f>
        <v>Flims Laax</v>
      </c>
      <c r="B52" s="58"/>
      <c r="C52" s="45">
        <v>0.65556053994535302</v>
      </c>
      <c r="D52" s="45">
        <v>0.7421437601589308</v>
      </c>
      <c r="E52" s="45">
        <v>0.63504994268871784</v>
      </c>
      <c r="F52" s="45">
        <v>0.23409486510008704</v>
      </c>
      <c r="G52" s="45">
        <v>0.20725595889834078</v>
      </c>
      <c r="H52" s="45">
        <v>0.32621845082680589</v>
      </c>
      <c r="I52" s="45">
        <v>0.49755748336561945</v>
      </c>
      <c r="J52" s="45">
        <v>0.52455150341110079</v>
      </c>
      <c r="K52" s="45">
        <v>0.38331157528285464</v>
      </c>
      <c r="L52" s="45">
        <v>0.2495578202644656</v>
      </c>
      <c r="M52" s="45">
        <v>7.0996518711923418E-2</v>
      </c>
      <c r="N52" s="45">
        <v>0.48814537185210138</v>
      </c>
      <c r="O52" s="66">
        <v>0.41894740577755696</v>
      </c>
    </row>
    <row r="53" spans="1:15" ht="24" customHeight="1" x14ac:dyDescent="0.2">
      <c r="A53" s="7" t="str">
        <f>VLOOKUP("&lt;Zeilentitel_35&gt;",Uebersetzungen!$B$4:$E$48,Uebersetzungen!$B$2+1,FALSE)</f>
        <v>Lenzerheide</v>
      </c>
      <c r="B53" s="58"/>
      <c r="C53" s="45">
        <v>0.72611862643080127</v>
      </c>
      <c r="D53" s="45">
        <v>0.77834101382488474</v>
      </c>
      <c r="E53" s="45">
        <v>0.56120112977553149</v>
      </c>
      <c r="F53" s="45">
        <v>9.1396882494004794E-2</v>
      </c>
      <c r="G53" s="45">
        <v>0.13442794151775353</v>
      </c>
      <c r="H53" s="45">
        <v>0.41056105610561056</v>
      </c>
      <c r="I53" s="45">
        <v>0.46017827589210536</v>
      </c>
      <c r="J53" s="45">
        <v>0.49600766528265727</v>
      </c>
      <c r="K53" s="45">
        <v>0.45949594959495949</v>
      </c>
      <c r="L53" s="45">
        <v>0.32426468453296942</v>
      </c>
      <c r="M53" s="45">
        <v>0.14974497449744975</v>
      </c>
      <c r="N53" s="45">
        <v>0.54095409540954098</v>
      </c>
      <c r="O53" s="66">
        <v>0.42496920495035601</v>
      </c>
    </row>
    <row r="54" spans="1:15" ht="24" customHeight="1" x14ac:dyDescent="0.2">
      <c r="A54" s="7" t="str">
        <f>VLOOKUP("&lt;Zeilentitel_36&gt;",Uebersetzungen!$B$4:$E$48,Uebersetzungen!$B$2+1,FALSE)</f>
        <v>Prättigau</v>
      </c>
      <c r="B54" s="58"/>
      <c r="C54" s="45">
        <v>0.49527252502780866</v>
      </c>
      <c r="D54" s="45">
        <v>0.72259852216748766</v>
      </c>
      <c r="E54" s="45">
        <v>0.56015943641082688</v>
      </c>
      <c r="F54" s="45">
        <v>0.33381226053639845</v>
      </c>
      <c r="G54" s="45">
        <v>0.37504634779384499</v>
      </c>
      <c r="H54" s="45">
        <v>0.48409961685823755</v>
      </c>
      <c r="I54" s="45">
        <v>0.50852799406748239</v>
      </c>
      <c r="J54" s="45">
        <v>0.50556173526140158</v>
      </c>
      <c r="K54" s="45">
        <v>0.49473180076628354</v>
      </c>
      <c r="L54" s="45">
        <v>0.42296996662958841</v>
      </c>
      <c r="M54" s="45">
        <v>0.35153256704980845</v>
      </c>
      <c r="N54" s="45">
        <v>0.41713014460511677</v>
      </c>
      <c r="O54" s="66">
        <v>0.47118564005668401</v>
      </c>
    </row>
    <row r="55" spans="1:15" ht="24" customHeight="1" x14ac:dyDescent="0.2">
      <c r="A55" s="7" t="str">
        <f>VLOOKUP("&lt;Zeilentitel_37&gt;",Uebersetzungen!$B$4:$E$48,Uebersetzungen!$B$2+1,FALSE)</f>
        <v>San Bernardino, Mesolcina/Calanca</v>
      </c>
      <c r="B55" s="58"/>
      <c r="C55" s="45">
        <v>0.28301287144446208</v>
      </c>
      <c r="D55" s="45">
        <v>0.35045742434904997</v>
      </c>
      <c r="E55" s="45">
        <v>0.3092324805339266</v>
      </c>
      <c r="F55" s="45">
        <v>0.12266009852216748</v>
      </c>
      <c r="G55" s="45">
        <v>0.16176704274590814</v>
      </c>
      <c r="H55" s="45">
        <v>0.31067323481116582</v>
      </c>
      <c r="I55" s="45">
        <v>0.41395201017003019</v>
      </c>
      <c r="J55" s="45">
        <v>0.43890036548546002</v>
      </c>
      <c r="K55" s="45">
        <v>0.25796387520525449</v>
      </c>
      <c r="L55" s="45">
        <v>0.17638646114730652</v>
      </c>
      <c r="M55" s="45">
        <v>0.10574712643678161</v>
      </c>
      <c r="N55" s="45">
        <v>0.27776894962656923</v>
      </c>
      <c r="O55" s="66">
        <v>0.26744044807341927</v>
      </c>
    </row>
    <row r="56" spans="1:15" ht="24" customHeight="1" x14ac:dyDescent="0.2">
      <c r="A56" s="7" t="str">
        <f>VLOOKUP("&lt;Zeilentitel_38&gt;",Uebersetzungen!$B$4:$E$48,Uebersetzungen!$B$2+1,FALSE)</f>
        <v>Val Surses</v>
      </c>
      <c r="B56" s="58"/>
      <c r="C56" s="45">
        <v>0.40920623414280538</v>
      </c>
      <c r="D56" s="45">
        <v>0.51357677902621723</v>
      </c>
      <c r="E56" s="45">
        <v>0.41779081133919843</v>
      </c>
      <c r="F56" s="45">
        <v>0.107003367003367</v>
      </c>
      <c r="G56" s="45">
        <v>0.16220267188009124</v>
      </c>
      <c r="H56" s="45">
        <v>0.3321885521885522</v>
      </c>
      <c r="I56" s="45">
        <v>0.45167860193154197</v>
      </c>
      <c r="J56" s="45">
        <v>0.42737008080940808</v>
      </c>
      <c r="K56" s="45">
        <v>0.33171061528059498</v>
      </c>
      <c r="L56" s="45">
        <v>0.13007917293725055</v>
      </c>
      <c r="M56" s="45">
        <v>5.4090601757944556E-3</v>
      </c>
      <c r="N56" s="45">
        <v>0.2422953608584702</v>
      </c>
      <c r="O56" s="66">
        <v>0.29541933510747559</v>
      </c>
    </row>
    <row r="57" spans="1:15" ht="24" customHeight="1" x14ac:dyDescent="0.2">
      <c r="A57" s="7" t="str">
        <f>VLOOKUP("&lt;Zeilentitel_39&gt;",Uebersetzungen!$B$4:$E$48,Uebersetzungen!$B$2+1,FALSE)</f>
        <v>Surselva</v>
      </c>
      <c r="B57" s="58"/>
      <c r="C57" s="45">
        <v>0.44367417677642979</v>
      </c>
      <c r="D57" s="45">
        <v>0.53528101015102747</v>
      </c>
      <c r="E57" s="45">
        <v>0.29406831777268405</v>
      </c>
      <c r="F57" s="45">
        <v>0.12557870370370369</v>
      </c>
      <c r="G57" s="45">
        <v>0.1682347670250896</v>
      </c>
      <c r="H57" s="45">
        <v>0.29942129629629627</v>
      </c>
      <c r="I57" s="45">
        <v>0.42025089605734767</v>
      </c>
      <c r="J57" s="45">
        <v>0.42685931899641577</v>
      </c>
      <c r="K57" s="45">
        <v>0.33101851851851855</v>
      </c>
      <c r="L57" s="45">
        <v>0.25341621863799285</v>
      </c>
      <c r="M57" s="45">
        <v>0.10243055555555555</v>
      </c>
      <c r="N57" s="45">
        <v>0.26971326164874554</v>
      </c>
      <c r="O57" s="66">
        <v>0.30499034261432861</v>
      </c>
    </row>
    <row r="58" spans="1:15" ht="24" customHeight="1" x14ac:dyDescent="0.2">
      <c r="A58" s="7" t="str">
        <f>VLOOKUP("&lt;Zeilentitel_40&gt;",Uebersetzungen!$B$4:$E$48,Uebersetzungen!$B$2+1,FALSE)</f>
        <v>Valposchiavo</v>
      </c>
      <c r="B58" s="58"/>
      <c r="C58" s="45">
        <v>0.19806451612903225</v>
      </c>
      <c r="D58" s="45">
        <v>0.23745173745173745</v>
      </c>
      <c r="E58" s="45">
        <v>0.16172624237140365</v>
      </c>
      <c r="F58" s="45">
        <v>0.19432432432432434</v>
      </c>
      <c r="G58" s="45">
        <v>0.33809938971229292</v>
      </c>
      <c r="H58" s="45">
        <v>0.50969202898550725</v>
      </c>
      <c r="I58" s="45">
        <v>0.69284712482468447</v>
      </c>
      <c r="J58" s="45">
        <v>0.63876227208976155</v>
      </c>
      <c r="K58" s="45">
        <v>0.50808080808080813</v>
      </c>
      <c r="L58" s="45">
        <v>0.46698658135608284</v>
      </c>
      <c r="M58" s="45">
        <v>9.1551882460973372E-2</v>
      </c>
      <c r="N58" s="45">
        <v>0.24846707544654759</v>
      </c>
      <c r="O58" s="66">
        <v>0.35903528662181661</v>
      </c>
    </row>
    <row r="59" spans="1:15" ht="24" customHeight="1" x14ac:dyDescent="0.2">
      <c r="A59" s="7" t="str">
        <f>VLOOKUP("&lt;Zeilentitel_41&gt;",Uebersetzungen!$B$4:$E$48,Uebersetzungen!$B$2+1,FALSE)</f>
        <v>Vals</v>
      </c>
      <c r="B59" s="58"/>
      <c r="C59" s="45">
        <v>0.55760368663594473</v>
      </c>
      <c r="D59" s="45">
        <v>0.69781341107871719</v>
      </c>
      <c r="E59" s="45">
        <v>0.4840026333113891</v>
      </c>
      <c r="F59" s="45">
        <v>0.21401360544217687</v>
      </c>
      <c r="G59" s="45">
        <v>0.21816984858459512</v>
      </c>
      <c r="H59" s="45">
        <v>0.28857142857142859</v>
      </c>
      <c r="I59" s="45">
        <v>0.45200789993416723</v>
      </c>
      <c r="J59" s="45">
        <v>0.47491770901909153</v>
      </c>
      <c r="K59" s="45">
        <v>0.35346938775510206</v>
      </c>
      <c r="L59" s="45">
        <v>0.38011849901250822</v>
      </c>
      <c r="M59" s="45">
        <v>0.32571428571428573</v>
      </c>
      <c r="N59" s="45">
        <v>0.4510862409479921</v>
      </c>
      <c r="O59" s="66">
        <v>0.4069779144534526</v>
      </c>
    </row>
    <row r="60" spans="1:15" ht="24" customHeight="1" x14ac:dyDescent="0.2">
      <c r="A60" s="7" t="str">
        <f>VLOOKUP("&lt;Zeilentitel_42&gt;",Uebersetzungen!$B$4:$E$48,Uebersetzungen!$B$2+1,FALSE)</f>
        <v>Viamala</v>
      </c>
      <c r="B60" s="59"/>
      <c r="C60" s="45">
        <v>0.28294328484081804</v>
      </c>
      <c r="D60" s="45">
        <v>0.43977591036414565</v>
      </c>
      <c r="E60" s="45">
        <v>0.29822965502763976</v>
      </c>
      <c r="F60" s="45">
        <v>0.15379609544468548</v>
      </c>
      <c r="G60" s="45">
        <v>0.21642992092925617</v>
      </c>
      <c r="H60" s="45">
        <v>0.36644974692697035</v>
      </c>
      <c r="I60" s="45">
        <v>0.4821216150024491</v>
      </c>
      <c r="J60" s="45">
        <v>0.46716129032258064</v>
      </c>
      <c r="K60" s="45">
        <v>0.39013333333333333</v>
      </c>
      <c r="L60" s="45">
        <v>0.27593548387096772</v>
      </c>
      <c r="M60" s="45">
        <v>0.16431924882629109</v>
      </c>
      <c r="N60" s="45">
        <v>0.22334004024144868</v>
      </c>
      <c r="O60" s="66">
        <v>0.31271693890607438</v>
      </c>
    </row>
    <row r="61" spans="1:15" ht="24" customHeight="1" thickBot="1" x14ac:dyDescent="0.25">
      <c r="A61" s="8" t="str">
        <f>VLOOKUP("&lt;Zeilentitel_43&gt;",Uebersetzungen!$B$4:$E$48,Uebersetzungen!$B$2+1,FALSE)</f>
        <v>Graubünden</v>
      </c>
      <c r="B61" s="60"/>
      <c r="C61" s="46">
        <v>0.60442079051395359</v>
      </c>
      <c r="D61" s="46">
        <v>0.68365123254288129</v>
      </c>
      <c r="E61" s="46">
        <v>0.53819994092207013</v>
      </c>
      <c r="F61" s="46">
        <v>0.17159279821837459</v>
      </c>
      <c r="G61" s="46">
        <v>0.16159535979214976</v>
      </c>
      <c r="H61" s="46">
        <v>0.36397999150582794</v>
      </c>
      <c r="I61" s="46">
        <v>0.515641358962597</v>
      </c>
      <c r="J61" s="46">
        <v>0.54499671456906096</v>
      </c>
      <c r="K61" s="46">
        <v>0.42331585824713863</v>
      </c>
      <c r="L61" s="46">
        <v>0.3111418417705728</v>
      </c>
      <c r="M61" s="46">
        <v>0.12429463878267163</v>
      </c>
      <c r="N61" s="46">
        <v>0.49297025239700504</v>
      </c>
      <c r="O61" s="67">
        <v>0.41080970786164128</v>
      </c>
    </row>
    <row r="62" spans="1:15" ht="24" customHeight="1" thickBot="1" x14ac:dyDescent="0.25">
      <c r="A62" s="42"/>
      <c r="B62" s="43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3"/>
      <c r="N62" s="13"/>
      <c r="O62" s="13"/>
    </row>
    <row r="63" spans="1:15" ht="24" customHeight="1" thickBot="1" x14ac:dyDescent="0.25">
      <c r="A63" s="42"/>
      <c r="B63" s="55" t="str">
        <f>VLOOKUP("&lt;Zeilentitel_44&gt;",Uebersetzungen!$B$4:$E$48,Uebersetzungen!$B$2+1,FALSE)</f>
        <v>Farbskala:</v>
      </c>
      <c r="C63" s="50" t="s">
        <v>144</v>
      </c>
      <c r="D63" s="51" t="s">
        <v>139</v>
      </c>
      <c r="E63" s="52" t="s">
        <v>140</v>
      </c>
      <c r="F63" s="53" t="s">
        <v>142</v>
      </c>
      <c r="G63" s="54" t="s">
        <v>141</v>
      </c>
      <c r="H63" s="63" t="s">
        <v>143</v>
      </c>
      <c r="I63" s="12"/>
      <c r="J63" s="12"/>
      <c r="K63" s="12"/>
      <c r="L63" s="12"/>
      <c r="M63" s="13"/>
      <c r="N63" s="13"/>
      <c r="O63" s="13"/>
    </row>
    <row r="64" spans="1:15" ht="24" customHeight="1" x14ac:dyDescent="0.2">
      <c r="A64" s="42"/>
      <c r="B64" s="43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3"/>
      <c r="N64" s="13"/>
      <c r="O64" s="13"/>
    </row>
    <row r="65" spans="1:15" x14ac:dyDescent="0.2">
      <c r="A65" s="47" t="str">
        <f>VLOOKUP("&lt;Legende_1&gt;",Uebersetzungen!$B$4:$E$56,Uebersetzungen!$B$2+1,FALSE)</f>
        <v>Aktuelle Zuordnung der politischen Gemeinden zu Destinationen:</v>
      </c>
      <c r="B65" s="11"/>
      <c r="C65" s="9"/>
      <c r="D65" s="12"/>
      <c r="E65" s="62" t="s">
        <v>133</v>
      </c>
      <c r="F65" s="12"/>
      <c r="G65" s="12"/>
      <c r="H65" s="12"/>
      <c r="I65" s="12"/>
      <c r="J65" s="12"/>
      <c r="K65" s="12"/>
      <c r="L65" s="12"/>
      <c r="M65" s="13"/>
      <c r="N65" s="13"/>
      <c r="O65" s="14"/>
    </row>
    <row r="66" spans="1:15" x14ac:dyDescent="0.2">
      <c r="A66" s="47" t="str">
        <f>VLOOKUP("&lt;Legende_3&gt;",Uebersetzungen!$B$4:$E$56,Uebersetzungen!$B$2+1,FALSE)</f>
        <v>* Berechnungsgrundlage: Bruttozimmerauslastung = Zimmernächte / (Zimmer * Anzahl Kalendertage)</v>
      </c>
      <c r="B66" s="11"/>
      <c r="C66" s="9"/>
      <c r="D66" s="12"/>
      <c r="F66" s="12"/>
      <c r="G66" s="12"/>
      <c r="H66" s="12"/>
      <c r="I66" s="12"/>
      <c r="J66" s="12"/>
      <c r="K66" s="12"/>
      <c r="L66" s="12"/>
      <c r="M66" s="13"/>
      <c r="N66" s="13"/>
      <c r="O66" s="14"/>
    </row>
    <row r="67" spans="1:15" x14ac:dyDescent="0.2">
      <c r="A67" s="47"/>
      <c r="B67" s="11"/>
      <c r="C67" s="9"/>
      <c r="D67" s="12"/>
      <c r="E67" s="61"/>
      <c r="F67" s="12"/>
      <c r="G67" s="12"/>
      <c r="H67" s="12"/>
      <c r="I67" s="12"/>
      <c r="J67" s="12"/>
      <c r="K67" s="12"/>
      <c r="L67" s="12"/>
      <c r="M67" s="13"/>
      <c r="N67" s="13"/>
      <c r="O67" s="14"/>
    </row>
    <row r="68" spans="1:15" x14ac:dyDescent="0.2">
      <c r="A68" s="42"/>
      <c r="B68" s="43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3"/>
      <c r="N68" s="13"/>
      <c r="O68" s="13"/>
    </row>
    <row r="69" spans="1:15" ht="18" x14ac:dyDescent="0.25">
      <c r="A69" s="2" t="str">
        <f>VLOOKUP("&lt;Titel3&gt;",Uebersetzungen!$B$4:$E$95,Uebersetzungen!$B$2+1,FALSE)</f>
        <v>Hotel- und Kurbetriebe: Bruttozimmerauslastung* 2024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38" customFormat="1" x14ac:dyDescent="0.2">
      <c r="A70" s="35" t="str">
        <f>VLOOKUP("&lt;Titeldef&gt;",Uebersetzungen!$B$4:$E$95,Uebersetzungen!$B$2+1,FALSE)</f>
        <v>definitive Ergebnisse</v>
      </c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ht="13.5" thickBot="1" x14ac:dyDescent="0.25"/>
    <row r="72" spans="1:15" ht="24" customHeight="1" thickBot="1" x14ac:dyDescent="0.25">
      <c r="A72" s="48" t="str">
        <f>VLOOKUP("&lt;Spaltentitel_1&gt;",Uebersetzungen!$B$4:$E$48,Uebersetzungen!$B$2+1,FALSE)</f>
        <v>Destination</v>
      </c>
      <c r="B72" s="49"/>
      <c r="C72" s="41" t="str">
        <f>VLOOKUP("&lt;Spaltentitel_2&gt;",Uebersetzungen!$B$4:$E$48,Uebersetzungen!$B$2+1,FALSE)</f>
        <v>Januar</v>
      </c>
      <c r="D72" s="5" t="str">
        <f>VLOOKUP("&lt;Spaltentitel_3&gt;",Uebersetzungen!$B$4:$E$48,Uebersetzungen!$B$2+1,FALSE)</f>
        <v>Februar</v>
      </c>
      <c r="E72" s="40" t="str">
        <f>VLOOKUP("&lt;Spaltentitel_4&gt;",Uebersetzungen!$B$4:$E$48,Uebersetzungen!$B$2+1,FALSE)</f>
        <v>März</v>
      </c>
      <c r="F72" s="40" t="str">
        <f>VLOOKUP("&lt;Spaltentitel_5&gt;",Uebersetzungen!$B$4:$E$48,Uebersetzungen!$B$2+1,FALSE)</f>
        <v>April</v>
      </c>
      <c r="G72" s="40" t="str">
        <f>VLOOKUP("&lt;Spaltentitel_6&gt;",Uebersetzungen!$B$4:$E$48,Uebersetzungen!$B$2+1,FALSE)</f>
        <v>Mai</v>
      </c>
      <c r="H72" s="40" t="str">
        <f>VLOOKUP("&lt;Spaltentitel_7&gt;",Uebersetzungen!$B$4:$E$48,Uebersetzungen!$B$2+1,FALSE)</f>
        <v>Juni</v>
      </c>
      <c r="I72" s="40" t="str">
        <f>VLOOKUP("&lt;Spaltentitel_8&gt;",Uebersetzungen!$B$4:$E$48,Uebersetzungen!$B$2+1,FALSE)</f>
        <v>Juli</v>
      </c>
      <c r="J72" s="40" t="str">
        <f>VLOOKUP("&lt;Spaltentitel_9&gt;",Uebersetzungen!$B$4:$E$48,Uebersetzungen!$B$2+1,FALSE)</f>
        <v>August</v>
      </c>
      <c r="K72" s="40" t="str">
        <f>VLOOKUP("&lt;Spaltentitel_10&gt;",Uebersetzungen!$B$4:$E$48,Uebersetzungen!$B$2+1,FALSE)</f>
        <v>September</v>
      </c>
      <c r="L72" s="40" t="str">
        <f>VLOOKUP("&lt;Spaltentitel_11&gt;",Uebersetzungen!$B$4:$E$48,Uebersetzungen!$B$2+1,FALSE)</f>
        <v>Oktober</v>
      </c>
      <c r="M72" s="6" t="str">
        <f>VLOOKUP("&lt;Spaltentitel_12&gt;",Uebersetzungen!$B$4:$E$48,Uebersetzungen!$B$2+1,FALSE)</f>
        <v>November</v>
      </c>
      <c r="N72" s="6" t="str">
        <f>VLOOKUP("&lt;Spaltentitel_13&gt;",Uebersetzungen!$B$4:$E$48,Uebersetzungen!$B$2+1,FALSE)</f>
        <v>Dezember</v>
      </c>
      <c r="O72" s="68" t="str">
        <f>VLOOKUP("&lt;Spaltentitel_14&gt;",Uebersetzungen!$B$4:$E$48,Uebersetzungen!$B$2+1,FALSE)</f>
        <v>Jahresdurch-
schnitt</v>
      </c>
    </row>
    <row r="73" spans="1:15" ht="24" customHeight="1" x14ac:dyDescent="0.2">
      <c r="A73" s="56" t="str">
        <f>VLOOKUP("&lt;Zeilentitel_25&gt;",Uebersetzungen!$B$4:$E$48,Uebersetzungen!$B$2+1,FALSE)</f>
        <v>Arosa</v>
      </c>
      <c r="B73" s="57"/>
      <c r="C73" s="44">
        <v>0.69842669930875578</v>
      </c>
      <c r="D73" s="44">
        <v>0.77262931034482762</v>
      </c>
      <c r="E73" s="44">
        <v>0.63196644585253459</v>
      </c>
      <c r="F73" s="44">
        <v>0.122265625</v>
      </c>
      <c r="G73" s="44">
        <v>1.0486532524220164E-2</v>
      </c>
      <c r="H73" s="44">
        <v>0.11778511184451779</v>
      </c>
      <c r="I73" s="44">
        <v>0.40773270875474643</v>
      </c>
      <c r="J73" s="44">
        <v>0.40515987082579225</v>
      </c>
      <c r="K73" s="44">
        <v>0.20731218088986142</v>
      </c>
      <c r="L73" s="44">
        <v>0.10782099244723653</v>
      </c>
      <c r="M73" s="44">
        <v>6.4692028985507244E-2</v>
      </c>
      <c r="N73" s="44">
        <v>0.52233520336605888</v>
      </c>
      <c r="O73" s="65">
        <v>0.33772027559292228</v>
      </c>
    </row>
    <row r="74" spans="1:15" ht="24" customHeight="1" x14ac:dyDescent="0.2">
      <c r="A74" s="7" t="str">
        <f>VLOOKUP("&lt;Zeilentitel_26&gt;",Uebersetzungen!$B$4:$E$48,Uebersetzungen!$B$2+1,FALSE)</f>
        <v>Bergün Filisur</v>
      </c>
      <c r="B74" s="58"/>
      <c r="C74" s="45">
        <v>0.6070909619296716</v>
      </c>
      <c r="D74" s="45">
        <v>0.70285803044423734</v>
      </c>
      <c r="E74" s="45">
        <v>0.38840453356582388</v>
      </c>
      <c r="F74" s="45">
        <v>3.7987987987987991E-2</v>
      </c>
      <c r="G74" s="45">
        <v>0.25413391162916782</v>
      </c>
      <c r="H74" s="45">
        <v>0.42563025210084032</v>
      </c>
      <c r="I74" s="45">
        <v>0.60200119474313019</v>
      </c>
      <c r="J74" s="45">
        <v>0.67135247114530927</v>
      </c>
      <c r="K74" s="45">
        <v>0.52935779816513762</v>
      </c>
      <c r="L74" s="45">
        <v>0.41432376442734536</v>
      </c>
      <c r="M74" s="45">
        <v>3.7767584097859325E-2</v>
      </c>
      <c r="N74" s="45">
        <v>0.37170760580053269</v>
      </c>
      <c r="O74" s="66">
        <v>0.41913182292626022</v>
      </c>
    </row>
    <row r="75" spans="1:15" ht="24" customHeight="1" x14ac:dyDescent="0.2">
      <c r="A75" s="7" t="str">
        <f>VLOOKUP("&lt;Zeilentitel_27&gt;",Uebersetzungen!$B$4:$E$48,Uebersetzungen!$B$2+1,FALSE)</f>
        <v>Bregaglia Engadin</v>
      </c>
      <c r="B75" s="58"/>
      <c r="C75" s="45">
        <v>0.25242907112320251</v>
      </c>
      <c r="D75" s="45">
        <v>0.34067303697548817</v>
      </c>
      <c r="E75" s="45">
        <v>0.22949863972017101</v>
      </c>
      <c r="F75" s="45">
        <v>3.9820359281437123E-2</v>
      </c>
      <c r="G75" s="45">
        <v>9.068958856480587E-2</v>
      </c>
      <c r="H75" s="45">
        <v>0.26127744510978046</v>
      </c>
      <c r="I75" s="45">
        <v>0.42514970059880242</v>
      </c>
      <c r="J75" s="45">
        <v>0.51854355804519991</v>
      </c>
      <c r="K75" s="45">
        <v>0.31856287425149699</v>
      </c>
      <c r="L75" s="45">
        <v>0.23024917906123238</v>
      </c>
      <c r="M75" s="45">
        <v>3.0239520958083833E-2</v>
      </c>
      <c r="N75" s="45">
        <v>0.14931427467645356</v>
      </c>
      <c r="O75" s="66">
        <v>0.24079763396990028</v>
      </c>
    </row>
    <row r="76" spans="1:15" ht="24" customHeight="1" x14ac:dyDescent="0.2">
      <c r="A76" s="7" t="str">
        <f>VLOOKUP("&lt;Zeilentitel_28&gt;",Uebersetzungen!$B$4:$E$48,Uebersetzungen!$B$2+1,FALSE)</f>
        <v>Bündner Herrschaft</v>
      </c>
      <c r="B76" s="58"/>
      <c r="C76" s="45">
        <v>0.43947772657450079</v>
      </c>
      <c r="D76" s="45">
        <v>0.44170771756978655</v>
      </c>
      <c r="E76" s="45">
        <v>0.47741935483870968</v>
      </c>
      <c r="F76" s="45">
        <v>0.4723809523809524</v>
      </c>
      <c r="G76" s="45">
        <v>0.51766513056835639</v>
      </c>
      <c r="H76" s="45">
        <v>0.61761904761904762</v>
      </c>
      <c r="I76" s="45">
        <v>0.61382488479262676</v>
      </c>
      <c r="J76" s="45">
        <v>0.61827956989247312</v>
      </c>
      <c r="K76" s="45">
        <v>0.61190476190476195</v>
      </c>
      <c r="L76" s="45">
        <v>0.52565284178187399</v>
      </c>
      <c r="M76" s="45">
        <v>0.46063492063492062</v>
      </c>
      <c r="N76" s="45">
        <v>0.39877112135176651</v>
      </c>
      <c r="O76" s="66">
        <v>0.51641946396044758</v>
      </c>
    </row>
    <row r="77" spans="1:15" ht="24" customHeight="1" x14ac:dyDescent="0.2">
      <c r="A77" s="7" t="str">
        <f>VLOOKUP("&lt;Zeilentitel_29&gt;",Uebersetzungen!$B$4:$E$48,Uebersetzungen!$B$2+1,FALSE)</f>
        <v>Chur</v>
      </c>
      <c r="B77" s="58"/>
      <c r="C77" s="45">
        <v>0.59920595533498755</v>
      </c>
      <c r="D77" s="45">
        <v>0.705779054916986</v>
      </c>
      <c r="E77" s="45">
        <v>0.63162086818000795</v>
      </c>
      <c r="F77" s="45">
        <v>0.61250000000000004</v>
      </c>
      <c r="G77" s="45">
        <v>0.73352250099561922</v>
      </c>
      <c r="H77" s="45">
        <v>0.77073045267489715</v>
      </c>
      <c r="I77" s="45">
        <v>0.75084627638391077</v>
      </c>
      <c r="J77" s="45">
        <v>0.75344913151364767</v>
      </c>
      <c r="K77" s="45">
        <v>0.76646495209278875</v>
      </c>
      <c r="L77" s="45">
        <v>0.68298277292469867</v>
      </c>
      <c r="M77" s="45">
        <v>0.52168431669188098</v>
      </c>
      <c r="N77" s="45">
        <v>0.60387487189497824</v>
      </c>
      <c r="O77" s="66">
        <v>0.67745608600277973</v>
      </c>
    </row>
    <row r="78" spans="1:15" ht="24" customHeight="1" x14ac:dyDescent="0.2">
      <c r="A78" s="7" t="str">
        <f>VLOOKUP("&lt;Zeilentitel_30&gt;",Uebersetzungen!$B$4:$E$48,Uebersetzungen!$B$2+1,FALSE)</f>
        <v>Davos Klosters</v>
      </c>
      <c r="B78" s="58"/>
      <c r="C78" s="45">
        <v>0.61983334708357396</v>
      </c>
      <c r="D78" s="45">
        <v>0.62409704238789698</v>
      </c>
      <c r="E78" s="45">
        <v>0.51005153477470444</v>
      </c>
      <c r="F78" s="45">
        <v>0.10273556231003039</v>
      </c>
      <c r="G78" s="45">
        <v>0.1279417792592478</v>
      </c>
      <c r="H78" s="45">
        <v>0.31315203562340965</v>
      </c>
      <c r="I78" s="45">
        <v>0.42202296846345788</v>
      </c>
      <c r="J78" s="45">
        <v>0.4916138009455982</v>
      </c>
      <c r="K78" s="45">
        <v>0.36885182611381362</v>
      </c>
      <c r="L78" s="45">
        <v>0.19719488593482631</v>
      </c>
      <c r="M78" s="45">
        <v>0.10820013898540654</v>
      </c>
      <c r="N78" s="45">
        <v>0.52653799308061899</v>
      </c>
      <c r="O78" s="66">
        <v>0.36863051231421529</v>
      </c>
    </row>
    <row r="79" spans="1:15" ht="24" customHeight="1" x14ac:dyDescent="0.2">
      <c r="A79" s="7" t="str">
        <f>VLOOKUP("&lt;Zeilentitel_31&gt;",Uebersetzungen!$B$4:$E$48,Uebersetzungen!$B$2+1,FALSE)</f>
        <v>Disentis Sedrun</v>
      </c>
      <c r="B79" s="58"/>
      <c r="C79" s="45">
        <v>0.4546008902981889</v>
      </c>
      <c r="D79" s="45">
        <v>0.6762922886382895</v>
      </c>
      <c r="E79" s="45">
        <v>0.36941276907128484</v>
      </c>
      <c r="F79" s="45">
        <v>6.5091367359798355E-2</v>
      </c>
      <c r="G79" s="45">
        <v>0.1354350875053357</v>
      </c>
      <c r="H79" s="45">
        <v>0.27838689350976686</v>
      </c>
      <c r="I79" s="45">
        <v>0.47725868248671366</v>
      </c>
      <c r="J79" s="45">
        <v>0.49419107650475835</v>
      </c>
      <c r="K79" s="45">
        <v>0.28882503192848019</v>
      </c>
      <c r="L79" s="45">
        <v>0.22333456927450254</v>
      </c>
      <c r="M79" s="45">
        <v>4.8659003831417622E-2</v>
      </c>
      <c r="N79" s="45">
        <v>0.31410451856820537</v>
      </c>
      <c r="O79" s="66">
        <v>0.31852046129116868</v>
      </c>
    </row>
    <row r="80" spans="1:15" ht="24" customHeight="1" x14ac:dyDescent="0.2">
      <c r="A80" s="7" t="str">
        <f>VLOOKUP("&lt;Zeilentitel_32&gt;",Uebersetzungen!$B$4:$E$48,Uebersetzungen!$B$2+1,FALSE)</f>
        <v>Scuol Samnaun Val Müstair</v>
      </c>
      <c r="B80" s="58"/>
      <c r="C80" s="45">
        <v>0.51275640000581491</v>
      </c>
      <c r="D80" s="45">
        <v>0.62790011033239579</v>
      </c>
      <c r="E80" s="45">
        <v>0.44918518949250608</v>
      </c>
      <c r="F80" s="45">
        <v>0.17269040108156827</v>
      </c>
      <c r="G80" s="45">
        <v>0.10819983907541511</v>
      </c>
      <c r="H80" s="45">
        <v>0.3437840290381125</v>
      </c>
      <c r="I80" s="45">
        <v>0.49929746501961242</v>
      </c>
      <c r="J80" s="45">
        <v>0.52739445079253466</v>
      </c>
      <c r="K80" s="45">
        <v>0.40793218286406296</v>
      </c>
      <c r="L80" s="45">
        <v>0.36625062260115437</v>
      </c>
      <c r="M80" s="45">
        <v>0.12968513472600665</v>
      </c>
      <c r="N80" s="45">
        <v>0.35690803956676159</v>
      </c>
      <c r="O80" s="66">
        <v>0.3751403760066081</v>
      </c>
    </row>
    <row r="81" spans="1:15" ht="24" customHeight="1" x14ac:dyDescent="0.2">
      <c r="A81" s="7" t="str">
        <f>VLOOKUP("&lt;Zeilentitel_33&gt;",Uebersetzungen!$B$4:$E$48,Uebersetzungen!$B$2+1,FALSE)</f>
        <v>Engadin St. Moritz</v>
      </c>
      <c r="B81" s="58"/>
      <c r="C81" s="45">
        <v>0.67510382699395621</v>
      </c>
      <c r="D81" s="45">
        <v>0.75686646304769911</v>
      </c>
      <c r="E81" s="45">
        <v>0.58470795670600229</v>
      </c>
      <c r="F81" s="45">
        <v>0.13558157431838169</v>
      </c>
      <c r="G81" s="45">
        <v>0.11900877723161515</v>
      </c>
      <c r="H81" s="45">
        <v>0.35656734739426404</v>
      </c>
      <c r="I81" s="45">
        <v>0.57453907409906868</v>
      </c>
      <c r="J81" s="45">
        <v>0.59845593197462543</v>
      </c>
      <c r="K81" s="45">
        <v>0.43791987501394936</v>
      </c>
      <c r="L81" s="45">
        <v>0.31316506951005535</v>
      </c>
      <c r="M81" s="45">
        <v>0.12053900234348845</v>
      </c>
      <c r="N81" s="45">
        <v>0.51996337982659269</v>
      </c>
      <c r="O81" s="66">
        <v>0.43316549256894521</v>
      </c>
    </row>
    <row r="82" spans="1:15" ht="24" customHeight="1" x14ac:dyDescent="0.2">
      <c r="A82" s="7" t="str">
        <f>VLOOKUP("&lt;Zeilentitel_34&gt;",Uebersetzungen!$B$4:$E$48,Uebersetzungen!$B$2+1,FALSE)</f>
        <v>Flims Laax</v>
      </c>
      <c r="B82" s="58"/>
      <c r="C82" s="45">
        <v>0.60196725317693056</v>
      </c>
      <c r="D82" s="45">
        <v>0.73920236851271337</v>
      </c>
      <c r="E82" s="45">
        <v>0.59581704138155756</v>
      </c>
      <c r="F82" s="45">
        <v>0.17861952861952862</v>
      </c>
      <c r="G82" s="45">
        <v>0.17408406155592954</v>
      </c>
      <c r="H82" s="45">
        <v>0.2915713680643795</v>
      </c>
      <c r="I82" s="45">
        <v>0.46376337267576245</v>
      </c>
      <c r="J82" s="45">
        <v>0.51422668603105115</v>
      </c>
      <c r="K82" s="45">
        <v>0.3326569435637286</v>
      </c>
      <c r="L82" s="45">
        <v>0.28081084951009472</v>
      </c>
      <c r="M82" s="45">
        <v>7.0217712957091519E-2</v>
      </c>
      <c r="N82" s="45">
        <v>0.45022545959070415</v>
      </c>
      <c r="O82" s="66">
        <v>0.39115219099263865</v>
      </c>
    </row>
    <row r="83" spans="1:15" ht="24" customHeight="1" x14ac:dyDescent="0.2">
      <c r="A83" s="7" t="str">
        <f>VLOOKUP("&lt;Zeilentitel_35&gt;",Uebersetzungen!$B$4:$E$48,Uebersetzungen!$B$2+1,FALSE)</f>
        <v>Lenzerheide</v>
      </c>
      <c r="B83" s="58"/>
      <c r="C83" s="45">
        <v>0.68819926500612494</v>
      </c>
      <c r="D83" s="45">
        <v>0.72131529172122799</v>
      </c>
      <c r="E83" s="45">
        <v>0.55810534912209064</v>
      </c>
      <c r="F83" s="45">
        <v>7.5696202531645565E-2</v>
      </c>
      <c r="G83" s="45">
        <v>0.14400435551925955</v>
      </c>
      <c r="H83" s="45">
        <v>0.32919165952584978</v>
      </c>
      <c r="I83" s="45">
        <v>0.42864250767061945</v>
      </c>
      <c r="J83" s="45">
        <v>0.4942267755780147</v>
      </c>
      <c r="K83" s="45">
        <v>0.4241061130334487</v>
      </c>
      <c r="L83" s="45">
        <v>0.31480312248880726</v>
      </c>
      <c r="M83" s="45">
        <v>0.16141755634638197</v>
      </c>
      <c r="N83" s="45">
        <v>0.51096315004017911</v>
      </c>
      <c r="O83" s="66">
        <v>0.40503506166340808</v>
      </c>
    </row>
    <row r="84" spans="1:15" ht="24" customHeight="1" x14ac:dyDescent="0.2">
      <c r="A84" s="7" t="str">
        <f>VLOOKUP("&lt;Zeilentitel_36&gt;",Uebersetzungen!$B$4:$E$48,Uebersetzungen!$B$2+1,FALSE)</f>
        <v>Prättigau</v>
      </c>
      <c r="B84" s="58"/>
      <c r="C84" s="45">
        <v>0.55895753599416809</v>
      </c>
      <c r="D84" s="45">
        <v>0.64513929475939991</v>
      </c>
      <c r="E84" s="45">
        <v>0.4731182795698925</v>
      </c>
      <c r="F84" s="45">
        <v>0.34272030651340996</v>
      </c>
      <c r="G84" s="45">
        <v>0.37606599925843531</v>
      </c>
      <c r="H84" s="45">
        <v>0.43534482758620691</v>
      </c>
      <c r="I84" s="45">
        <v>0.45494994438264741</v>
      </c>
      <c r="J84" s="45">
        <v>0.47154245457916205</v>
      </c>
      <c r="K84" s="45">
        <v>0.41398467432950192</v>
      </c>
      <c r="L84" s="45">
        <v>0.31405265109380792</v>
      </c>
      <c r="M84" s="45">
        <v>0.31302681992337167</v>
      </c>
      <c r="N84" s="45">
        <v>0.38700407860585834</v>
      </c>
      <c r="O84" s="66">
        <v>0.43213177294652</v>
      </c>
    </row>
    <row r="85" spans="1:15" ht="24" customHeight="1" x14ac:dyDescent="0.2">
      <c r="A85" s="7" t="str">
        <f>VLOOKUP("&lt;Zeilentitel_37&gt;",Uebersetzungen!$B$4:$E$48,Uebersetzungen!$B$2+1,FALSE)</f>
        <v>San Bernardino, Mesolcina/Calanca</v>
      </c>
      <c r="B85" s="58"/>
      <c r="C85" s="45">
        <v>0.2335483870967742</v>
      </c>
      <c r="D85" s="45">
        <v>0.31625615763546799</v>
      </c>
      <c r="E85" s="45">
        <v>0.21627945846565269</v>
      </c>
      <c r="F85" s="45">
        <v>0.15647668393782382</v>
      </c>
      <c r="G85" s="45">
        <v>0.15727895704496073</v>
      </c>
      <c r="H85" s="45">
        <v>0.18186528497409327</v>
      </c>
      <c r="I85" s="45">
        <v>0.33394618084572958</v>
      </c>
      <c r="J85" s="45">
        <v>0.44776867792077552</v>
      </c>
      <c r="K85" s="45">
        <v>0.23281519861830743</v>
      </c>
      <c r="L85" s="45">
        <v>0.12480631074799267</v>
      </c>
      <c r="M85" s="45">
        <v>0.10043668122270742</v>
      </c>
      <c r="N85" s="45">
        <v>0.22622904634455557</v>
      </c>
      <c r="O85" s="66">
        <v>0.2234258725320592</v>
      </c>
    </row>
    <row r="86" spans="1:15" ht="24" customHeight="1" x14ac:dyDescent="0.2">
      <c r="A86" s="7" t="str">
        <f>VLOOKUP("&lt;Zeilentitel_38&gt;",Uebersetzungen!$B$4:$E$48,Uebersetzungen!$B$2+1,FALSE)</f>
        <v>Val Surses</v>
      </c>
      <c r="B86" s="58"/>
      <c r="C86" s="45">
        <v>0.42158808933002484</v>
      </c>
      <c r="D86" s="45">
        <v>0.49038461538461536</v>
      </c>
      <c r="E86" s="45">
        <v>0.36166253101736973</v>
      </c>
      <c r="F86" s="45">
        <v>9.8653846153846148E-2</v>
      </c>
      <c r="G86" s="45">
        <v>0.15279156327543425</v>
      </c>
      <c r="H86" s="45">
        <v>0.26685897435897438</v>
      </c>
      <c r="I86" s="45">
        <v>0.40130272952853596</v>
      </c>
      <c r="J86" s="45">
        <v>0.37444168734491318</v>
      </c>
      <c r="K86" s="45">
        <v>0.27615384615384614</v>
      </c>
      <c r="L86" s="45">
        <v>0.12009925558312655</v>
      </c>
      <c r="M86" s="45">
        <v>1.1217948717948718E-2</v>
      </c>
      <c r="N86" s="45">
        <v>0.211848635235732</v>
      </c>
      <c r="O86" s="66">
        <v>0.26547393862967633</v>
      </c>
    </row>
    <row r="87" spans="1:15" ht="24" customHeight="1" x14ac:dyDescent="0.2">
      <c r="A87" s="7" t="str">
        <f>VLOOKUP("&lt;Zeilentitel_39&gt;",Uebersetzungen!$B$4:$E$48,Uebersetzungen!$B$2+1,FALSE)</f>
        <v>Surselva</v>
      </c>
      <c r="B87" s="58"/>
      <c r="C87" s="45">
        <v>0.39804528946806239</v>
      </c>
      <c r="D87" s="45">
        <v>0.49006622516556292</v>
      </c>
      <c r="E87" s="45">
        <v>0.27008117923520614</v>
      </c>
      <c r="F87" s="45">
        <v>8.2174392935982346E-2</v>
      </c>
      <c r="G87" s="45">
        <v>0.15488143559068576</v>
      </c>
      <c r="H87" s="45">
        <v>0.24619205298013244</v>
      </c>
      <c r="I87" s="45">
        <v>0.35596026490066224</v>
      </c>
      <c r="J87" s="45">
        <v>0.36434522537919251</v>
      </c>
      <c r="K87" s="45">
        <v>0.2715783664459161</v>
      </c>
      <c r="L87" s="45">
        <v>0.20679342020935698</v>
      </c>
      <c r="M87" s="45">
        <v>8.8907284768211914E-2</v>
      </c>
      <c r="N87" s="45">
        <v>0.25437940610980558</v>
      </c>
      <c r="O87" s="66">
        <v>0.26507255817319869</v>
      </c>
    </row>
    <row r="88" spans="1:15" ht="24" customHeight="1" x14ac:dyDescent="0.2">
      <c r="A88" s="7" t="str">
        <f>VLOOKUP("&lt;Zeilentitel_40&gt;",Uebersetzungen!$B$4:$E$48,Uebersetzungen!$B$2+1,FALSE)</f>
        <v>Valposchiavo</v>
      </c>
      <c r="B88" s="58"/>
      <c r="C88" s="45">
        <v>0.16176751288413818</v>
      </c>
      <c r="D88" s="45">
        <v>0.22301571107937157</v>
      </c>
      <c r="E88" s="45">
        <v>0.17112044283260164</v>
      </c>
      <c r="F88" s="45">
        <v>0.19122287968441815</v>
      </c>
      <c r="G88" s="45">
        <v>0.36037411719793855</v>
      </c>
      <c r="H88" s="45">
        <v>0.5063116370808679</v>
      </c>
      <c r="I88" s="45">
        <v>0.63580836037411714</v>
      </c>
      <c r="J88" s="45">
        <v>0.67169307119679333</v>
      </c>
      <c r="K88" s="45">
        <v>0.48284023668639053</v>
      </c>
      <c r="L88" s="45">
        <v>0.40685245275815995</v>
      </c>
      <c r="M88" s="45">
        <v>0.12879684418145956</v>
      </c>
      <c r="N88" s="45">
        <v>0.23029204046573773</v>
      </c>
      <c r="O88" s="66">
        <v>0.34840915704724029</v>
      </c>
    </row>
    <row r="89" spans="1:15" ht="24" customHeight="1" x14ac:dyDescent="0.2">
      <c r="A89" s="7" t="str">
        <f>VLOOKUP("&lt;Zeilentitel_41&gt;",Uebersetzungen!$B$4:$E$48,Uebersetzungen!$B$2+1,FALSE)</f>
        <v>Vals</v>
      </c>
      <c r="B89" s="58"/>
      <c r="C89" s="45">
        <v>0.54377880184331795</v>
      </c>
      <c r="D89" s="45">
        <v>0.69711470795214636</v>
      </c>
      <c r="E89" s="45">
        <v>0.47149440421329825</v>
      </c>
      <c r="F89" s="45">
        <v>0.18653061224489795</v>
      </c>
      <c r="G89" s="45">
        <v>0.28031599736668861</v>
      </c>
      <c r="H89" s="45">
        <v>0.28696236559139787</v>
      </c>
      <c r="I89" s="45">
        <v>0.44015799868334432</v>
      </c>
      <c r="J89" s="45">
        <v>0.49664252797893349</v>
      </c>
      <c r="K89" s="45">
        <v>0.3674829931972789</v>
      </c>
      <c r="L89" s="45">
        <v>0.36471362738643842</v>
      </c>
      <c r="M89" s="45">
        <v>0.36489795918367346</v>
      </c>
      <c r="N89" s="45">
        <v>0.48071099407504936</v>
      </c>
      <c r="O89" s="66">
        <v>0.41463210842064807</v>
      </c>
    </row>
    <row r="90" spans="1:15" ht="24" customHeight="1" x14ac:dyDescent="0.2">
      <c r="A90" s="7" t="str">
        <f>VLOOKUP("&lt;Zeilentitel_42&gt;",Uebersetzungen!$B$4:$E$48,Uebersetzungen!$B$2+1,FALSE)</f>
        <v>Viamala</v>
      </c>
      <c r="B90" s="59"/>
      <c r="C90" s="45">
        <v>0.32140384881628131</v>
      </c>
      <c r="D90" s="45">
        <v>0.47795909325850994</v>
      </c>
      <c r="E90" s="45">
        <v>0.30192719486081371</v>
      </c>
      <c r="F90" s="45">
        <v>0.16766595289079228</v>
      </c>
      <c r="G90" s="45">
        <v>0.23855803694513372</v>
      </c>
      <c r="H90" s="45">
        <v>0.33646723646723647</v>
      </c>
      <c r="I90" s="45">
        <v>0.498508498092265</v>
      </c>
      <c r="J90" s="45">
        <v>0.48831078737426292</v>
      </c>
      <c r="K90" s="45">
        <v>0.38508960573476703</v>
      </c>
      <c r="L90" s="45">
        <v>0.26985778702740199</v>
      </c>
      <c r="M90" s="45">
        <v>0.16356245380635626</v>
      </c>
      <c r="N90" s="45">
        <v>0.2157213360989915</v>
      </c>
      <c r="O90" s="66">
        <v>0.32248980012666989</v>
      </c>
    </row>
    <row r="91" spans="1:15" ht="24" customHeight="1" thickBot="1" x14ac:dyDescent="0.25">
      <c r="A91" s="8" t="str">
        <f>VLOOKUP("&lt;Zeilentitel_43&gt;",Uebersetzungen!$B$4:$E$48,Uebersetzungen!$B$2+1,FALSE)</f>
        <v>Graubünden</v>
      </c>
      <c r="B91" s="60"/>
      <c r="C91" s="46">
        <v>0.59182598401894049</v>
      </c>
      <c r="D91" s="46">
        <v>0.66819895249861194</v>
      </c>
      <c r="E91" s="46">
        <v>0.51436008933457578</v>
      </c>
      <c r="F91" s="46">
        <v>0.14820698838330501</v>
      </c>
      <c r="G91" s="46">
        <v>0.15406217073736972</v>
      </c>
      <c r="H91" s="46">
        <v>0.32843985745360299</v>
      </c>
      <c r="I91" s="46">
        <v>0.49156194750846782</v>
      </c>
      <c r="J91" s="46">
        <v>0.52628996574364828</v>
      </c>
      <c r="K91" s="46">
        <v>0.38859616801768609</v>
      </c>
      <c r="L91" s="46">
        <v>0.27839643983381535</v>
      </c>
      <c r="M91" s="46">
        <v>0.12744926468330722</v>
      </c>
      <c r="N91" s="46">
        <v>0.45740056719106859</v>
      </c>
      <c r="O91" s="67">
        <v>0.38976734494237114</v>
      </c>
    </row>
    <row r="92" spans="1:15" ht="24" customHeight="1" thickBot="1" x14ac:dyDescent="0.25">
      <c r="A92" s="42"/>
      <c r="B92" s="43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3"/>
      <c r="N92" s="13"/>
      <c r="O92" s="13"/>
    </row>
    <row r="93" spans="1:15" ht="24" customHeight="1" thickBot="1" x14ac:dyDescent="0.25">
      <c r="A93" s="42"/>
      <c r="B93" s="55" t="str">
        <f>VLOOKUP("&lt;Zeilentitel_44&gt;",Uebersetzungen!$B$4:$E$48,Uebersetzungen!$B$2+1,FALSE)</f>
        <v>Farbskala:</v>
      </c>
      <c r="C93" s="50" t="s">
        <v>144</v>
      </c>
      <c r="D93" s="51" t="s">
        <v>139</v>
      </c>
      <c r="E93" s="52" t="s">
        <v>140</v>
      </c>
      <c r="F93" s="53" t="s">
        <v>142</v>
      </c>
      <c r="G93" s="54" t="s">
        <v>141</v>
      </c>
      <c r="H93" s="63" t="s">
        <v>143</v>
      </c>
      <c r="I93" s="12"/>
      <c r="J93" s="12"/>
      <c r="K93" s="12"/>
      <c r="L93" s="12"/>
      <c r="M93" s="13"/>
      <c r="N93" s="13"/>
      <c r="O93" s="13"/>
    </row>
    <row r="94" spans="1:15" ht="24" customHeight="1" x14ac:dyDescent="0.2">
      <c r="A94" s="42"/>
      <c r="B94" s="43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3"/>
      <c r="N94" s="13"/>
      <c r="O94" s="13"/>
    </row>
    <row r="95" spans="1:15" x14ac:dyDescent="0.2">
      <c r="A95" s="47" t="str">
        <f>VLOOKUP("&lt;Legende_1&gt;",Uebersetzungen!$B$4:$E$56,Uebersetzungen!$B$2+1,FALSE)</f>
        <v>Aktuelle Zuordnung der politischen Gemeinden zu Destinationen:</v>
      </c>
      <c r="B95" s="11"/>
      <c r="C95" s="9"/>
      <c r="D95" s="12"/>
      <c r="E95" s="62" t="s">
        <v>133</v>
      </c>
      <c r="F95" s="12"/>
      <c r="G95" s="12"/>
      <c r="H95" s="12"/>
      <c r="I95" s="12"/>
      <c r="J95" s="12"/>
      <c r="K95" s="12"/>
      <c r="L95" s="12"/>
      <c r="M95" s="13"/>
      <c r="N95" s="13"/>
      <c r="O95" s="14"/>
    </row>
    <row r="96" spans="1:15" x14ac:dyDescent="0.2">
      <c r="A96" s="47" t="str">
        <f>VLOOKUP("&lt;Legende_3&gt;",Uebersetzungen!$B$4:$E$56,Uebersetzungen!$B$2+1,FALSE)</f>
        <v>* Berechnungsgrundlage: Bruttozimmerauslastung = Zimmernächte / (Zimmer * Anzahl Kalendertage)</v>
      </c>
      <c r="B96" s="11"/>
      <c r="C96" s="9"/>
      <c r="D96" s="12"/>
      <c r="F96" s="12"/>
      <c r="G96" s="12"/>
      <c r="H96" s="12"/>
      <c r="I96" s="12"/>
      <c r="J96" s="12"/>
      <c r="K96" s="12"/>
      <c r="L96" s="12"/>
      <c r="M96" s="13"/>
      <c r="N96" s="13"/>
      <c r="O96" s="14"/>
    </row>
    <row r="97" spans="1:15" x14ac:dyDescent="0.2">
      <c r="A97" s="47"/>
      <c r="B97" s="11"/>
      <c r="C97" s="9"/>
      <c r="D97" s="12"/>
      <c r="F97" s="12"/>
      <c r="G97" s="12"/>
      <c r="H97" s="12"/>
      <c r="I97" s="12"/>
      <c r="J97" s="12"/>
      <c r="K97" s="12"/>
      <c r="L97" s="12"/>
      <c r="M97" s="13"/>
      <c r="N97" s="13"/>
      <c r="O97" s="14"/>
    </row>
    <row r="98" spans="1:15" x14ac:dyDescent="0.2">
      <c r="A98" s="4" t="str">
        <f>VLOOKUP("&lt;Quelle_1&gt;",Uebersetzungen!$B$4:$E$56,Uebersetzungen!$B$2+1,FALSE)</f>
        <v>Quelle: BFS (HESTA)</v>
      </c>
    </row>
    <row r="99" spans="1:15" x14ac:dyDescent="0.2">
      <c r="A99" s="4" t="str">
        <f>VLOOKUP("&lt;Legende_2&gt;",Uebersetzungen!$B$4:$E$56,Uebersetzungen!$B$2+1,FALSE)</f>
        <v>Kontakt: Luzius Stricker, 081 257 23 74, luzius.stricker@awt.gr.ch</v>
      </c>
    </row>
    <row r="100" spans="1:15" x14ac:dyDescent="0.2">
      <c r="A100" s="10" t="str">
        <f>VLOOKUP("&lt;Aktualisierung&gt;",Uebersetzungen!$B$4:$E$95,Uebersetzungen!$B$2+1,FALSE)</f>
        <v>Letztmals aktualisiert am: 09.03.2026</v>
      </c>
    </row>
    <row r="102" spans="1:15" x14ac:dyDescent="0.2">
      <c r="A102" s="4" t="s">
        <v>21</v>
      </c>
    </row>
  </sheetData>
  <sheetProtection sheet="1" objects="1" scenarios="1"/>
  <mergeCells count="1">
    <mergeCell ref="A7:D7"/>
  </mergeCells>
  <conditionalFormatting sqref="C33">
    <cfRule type="colorScale" priority="25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C63">
    <cfRule type="colorScale" priority="5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C93">
    <cfRule type="colorScale" priority="3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C13:O31 C43:O61 C73:O91">
    <cfRule type="cellIs" dxfId="5" priority="10" operator="between">
      <formula>0.7</formula>
      <formula>1</formula>
    </cfRule>
    <cfRule type="cellIs" dxfId="4" priority="11" operator="between">
      <formula>0.6</formula>
      <formula>"&lt;0.7"</formula>
    </cfRule>
    <cfRule type="cellIs" dxfId="3" priority="12" operator="between">
      <formula>0.5</formula>
      <formula>"&lt;0.6"</formula>
    </cfRule>
    <cfRule type="cellIs" dxfId="2" priority="13" operator="between">
      <formula>0.4</formula>
      <formula>"&lt;0.5"</formula>
    </cfRule>
    <cfRule type="cellIs" dxfId="1" priority="14" operator="between">
      <formula>0.3</formula>
      <formula>"&lt;0.4"</formula>
    </cfRule>
    <cfRule type="cellIs" dxfId="0" priority="15" operator="between">
      <formula>0.001</formula>
      <formula>"&lt;0.3"</formula>
    </cfRule>
  </conditionalFormatting>
  <conditionalFormatting sqref="C43:O61">
    <cfRule type="colorScale" priority="21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C73:O91">
    <cfRule type="colorScale" priority="18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E33">
    <cfRule type="colorScale" priority="24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E63">
    <cfRule type="colorScale" priority="4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E93">
    <cfRule type="colorScale" priority="2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hyperlinks>
    <hyperlink ref="E35" r:id="rId1" xr:uid="{00000000-0004-0000-0000-000000000000}"/>
    <hyperlink ref="E95" r:id="rId2" xr:uid="{00000000-0004-0000-0000-000001000000}"/>
    <hyperlink ref="E65" r:id="rId3" xr:uid="{00000000-0004-0000-0000-000002000000}"/>
  </hyperlinks>
  <pageMargins left="0.70866141732283472" right="0.70866141732283472" top="0.78740157480314965" bottom="0.78740157480314965" header="0.31496062992125984" footer="0.31496062992125984"/>
  <pageSetup paperSize="9" scale="64" fitToHeight="2" orientation="landscape" r:id="rId4"/>
  <rowBreaks count="1" manualBreakCount="1">
    <brk id="68" max="13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7" name="Option Button 1">
              <controlPr defaultSize="0" autoFill="0" autoLine="0" autoPict="0">
                <anchor moveWithCells="1">
                  <from>
                    <xdr:col>5</xdr:col>
                    <xdr:colOff>723900</xdr:colOff>
                    <xdr:row>1</xdr:row>
                    <xdr:rowOff>114300</xdr:rowOff>
                  </from>
                  <to>
                    <xdr:col>7</xdr:col>
                    <xdr:colOff>28575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8" name="Option Button 2">
              <controlPr defaultSize="0" autoFill="0" autoLine="0" autoPict="0">
                <anchor moveWithCells="1">
                  <from>
                    <xdr:col>5</xdr:col>
                    <xdr:colOff>723900</xdr:colOff>
                    <xdr:row>2</xdr:row>
                    <xdr:rowOff>104775</xdr:rowOff>
                  </from>
                  <to>
                    <xdr:col>7</xdr:col>
                    <xdr:colOff>409575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9" name="Option Button 3">
              <controlPr defaultSize="0" autoFill="0" autoLine="0" autoPict="0">
                <anchor moveWithCells="1">
                  <from>
                    <xdr:col>5</xdr:col>
                    <xdr:colOff>723900</xdr:colOff>
                    <xdr:row>3</xdr:row>
                    <xdr:rowOff>66675</xdr:rowOff>
                  </from>
                  <to>
                    <xdr:col>7</xdr:col>
                    <xdr:colOff>28575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F56"/>
  <sheetViews>
    <sheetView workbookViewId="0">
      <selection activeCell="G54" sqref="G54"/>
    </sheetView>
  </sheetViews>
  <sheetFormatPr baseColWidth="10" defaultColWidth="12.5703125" defaultRowHeight="12.75" x14ac:dyDescent="0.2"/>
  <cols>
    <col min="1" max="1" width="8.5703125" style="17" bestFit="1" customWidth="1"/>
    <col min="2" max="2" width="17.7109375" style="17" bestFit="1" customWidth="1"/>
    <col min="3" max="3" width="53" style="17" customWidth="1"/>
    <col min="4" max="4" width="47.5703125" style="17" bestFit="1" customWidth="1"/>
    <col min="5" max="5" width="42.28515625" style="17" customWidth="1"/>
    <col min="6" max="16384" width="12.5703125" style="17"/>
  </cols>
  <sheetData>
    <row r="1" spans="1:6" x14ac:dyDescent="0.2">
      <c r="A1" s="21" t="s">
        <v>22</v>
      </c>
      <c r="B1" s="21" t="s">
        <v>23</v>
      </c>
      <c r="C1" s="21" t="s">
        <v>24</v>
      </c>
      <c r="D1" s="21" t="s">
        <v>25</v>
      </c>
      <c r="E1" s="21" t="s">
        <v>26</v>
      </c>
      <c r="F1" s="20"/>
    </row>
    <row r="2" spans="1:6" ht="13.5" thickBot="1" x14ac:dyDescent="0.25">
      <c r="A2" s="19" t="s">
        <v>27</v>
      </c>
      <c r="B2" s="22">
        <v>1</v>
      </c>
      <c r="C2" s="22"/>
      <c r="D2" s="20"/>
      <c r="E2" s="20"/>
      <c r="F2" s="20"/>
    </row>
    <row r="3" spans="1:6" s="30" customFormat="1" ht="26.25" thickBot="1" x14ac:dyDescent="0.25">
      <c r="A3" s="28"/>
      <c r="B3" s="29" t="s">
        <v>80</v>
      </c>
      <c r="C3" s="32">
        <v>2026</v>
      </c>
      <c r="D3" s="31">
        <f>C3-2000</f>
        <v>26</v>
      </c>
    </row>
    <row r="4" spans="1:6" x14ac:dyDescent="0.2">
      <c r="A4" s="19"/>
      <c r="B4" s="33" t="s">
        <v>28</v>
      </c>
      <c r="C4" s="33" t="s">
        <v>29</v>
      </c>
      <c r="D4" s="33" t="s">
        <v>30</v>
      </c>
      <c r="E4" s="33" t="s">
        <v>31</v>
      </c>
      <c r="F4" s="20"/>
    </row>
    <row r="5" spans="1:6" x14ac:dyDescent="0.2">
      <c r="A5" s="19"/>
      <c r="B5" s="33" t="s">
        <v>81</v>
      </c>
      <c r="C5" s="33" t="s">
        <v>85</v>
      </c>
      <c r="D5" s="33" t="s">
        <v>106</v>
      </c>
      <c r="E5" s="33" t="s">
        <v>107</v>
      </c>
      <c r="F5" s="20"/>
    </row>
    <row r="6" spans="1:6" x14ac:dyDescent="0.2">
      <c r="A6" s="19"/>
      <c r="B6" s="33" t="s">
        <v>86</v>
      </c>
      <c r="C6" s="33" t="s">
        <v>82</v>
      </c>
      <c r="D6" s="33" t="s">
        <v>83</v>
      </c>
      <c r="E6" s="33" t="s">
        <v>84</v>
      </c>
      <c r="F6" s="20"/>
    </row>
    <row r="7" spans="1:6" ht="25.5" x14ac:dyDescent="0.2">
      <c r="A7" s="19" t="s">
        <v>32</v>
      </c>
      <c r="B7" s="33" t="s">
        <v>45</v>
      </c>
      <c r="C7" s="33" t="str">
        <f>"Hotel- und Kurbetriebe: Bruttozimmerauslastung* "&amp;$C$3&amp;""</f>
        <v>Hotel- und Kurbetriebe: Bruttozimmerauslastung* 2026</v>
      </c>
      <c r="D7" s="33" t="str">
        <f>"Manaschis d' hotel e da cura: occupaziun da las chombras brutta* en il "&amp;$C$3&amp;""</f>
        <v>Manaschis d' hotel e da cura: occupaziun da las chombras brutta* en il 2026</v>
      </c>
      <c r="E7" s="33" t="str">
        <f>"Alberghi e stabilimenti di cura: occupazione delle camere lorda* nel "&amp;$C$3&amp;""</f>
        <v>Alberghi e stabilimenti di cura: occupazione delle camere lorda* nel 2026</v>
      </c>
      <c r="F7" s="20"/>
    </row>
    <row r="8" spans="1:6" ht="25.5" x14ac:dyDescent="0.2">
      <c r="A8" s="19"/>
      <c r="B8" s="33" t="s">
        <v>46</v>
      </c>
      <c r="C8" s="33" t="str">
        <f>"Hotel- und Kurbetriebe: Bruttozimmerauslastung* "&amp;$C$3-1&amp;""</f>
        <v>Hotel- und Kurbetriebe: Bruttozimmerauslastung* 2025</v>
      </c>
      <c r="D8" s="33" t="str">
        <f>"Manaschis d' hotel e da cura: occupaziun da las chombras brutta* en il "&amp;$C$3-1&amp;""</f>
        <v>Manaschis d' hotel e da cura: occupaziun da las chombras brutta* en il 2025</v>
      </c>
      <c r="E8" s="33" t="str">
        <f>"Alberghi e stabilimenti di cura: occupazione delle camere lorda* nel "&amp;$C$3-1&amp;""</f>
        <v>Alberghi e stabilimenti di cura: occupazione delle camere lorda* nel 2025</v>
      </c>
      <c r="F8" s="20"/>
    </row>
    <row r="9" spans="1:6" ht="25.5" x14ac:dyDescent="0.2">
      <c r="A9" s="19"/>
      <c r="B9" s="33" t="s">
        <v>47</v>
      </c>
      <c r="C9" s="33" t="str">
        <f>"Hotel- und Kurbetriebe: Bruttozimmerauslastung* "&amp;$C$3-2&amp;""</f>
        <v>Hotel- und Kurbetriebe: Bruttozimmerauslastung* 2024</v>
      </c>
      <c r="D9" s="33" t="str">
        <f>"Manaschis d' hotel e da cura: occupaziun da las chombras brutta* en il "&amp;$C$3-2&amp;""</f>
        <v>Manaschis d' hotel e da cura: occupaziun da las chombras brutta* en il 2024</v>
      </c>
      <c r="E9" s="33" t="str">
        <f>"Alberghi e stabilimenti di cura: occupazione delle camere lorda* nel "&amp;$C$3-2&amp;""</f>
        <v>Alberghi e stabilimenti di cura: occupazione delle camere lorda* nel 2024</v>
      </c>
      <c r="F9" s="20"/>
    </row>
    <row r="10" spans="1:6" x14ac:dyDescent="0.2">
      <c r="A10" s="19"/>
      <c r="B10" s="19"/>
      <c r="C10" s="19"/>
      <c r="D10" s="19"/>
      <c r="E10" s="19"/>
      <c r="F10" s="20"/>
    </row>
    <row r="11" spans="1:6" x14ac:dyDescent="0.2">
      <c r="A11" s="19" t="s">
        <v>33</v>
      </c>
      <c r="B11" s="33" t="s">
        <v>34</v>
      </c>
      <c r="C11" s="33" t="s">
        <v>92</v>
      </c>
      <c r="D11" s="33" t="s">
        <v>108</v>
      </c>
      <c r="E11" s="33" t="s">
        <v>109</v>
      </c>
      <c r="F11" s="20"/>
    </row>
    <row r="12" spans="1:6" x14ac:dyDescent="0.2">
      <c r="A12" s="19"/>
      <c r="B12" s="33" t="s">
        <v>35</v>
      </c>
      <c r="C12" s="33" t="s">
        <v>93</v>
      </c>
      <c r="D12" s="33" t="s">
        <v>122</v>
      </c>
      <c r="E12" s="33" t="s">
        <v>114</v>
      </c>
      <c r="F12" s="20"/>
    </row>
    <row r="13" spans="1:6" x14ac:dyDescent="0.2">
      <c r="A13" s="19"/>
      <c r="B13" s="33" t="s">
        <v>36</v>
      </c>
      <c r="C13" s="33" t="s">
        <v>94</v>
      </c>
      <c r="D13" s="33" t="s">
        <v>123</v>
      </c>
      <c r="E13" s="33" t="s">
        <v>115</v>
      </c>
      <c r="F13" s="20"/>
    </row>
    <row r="14" spans="1:6" x14ac:dyDescent="0.2">
      <c r="A14" s="19"/>
      <c r="B14" s="33" t="s">
        <v>65</v>
      </c>
      <c r="C14" s="33" t="s">
        <v>95</v>
      </c>
      <c r="D14" s="33" t="s">
        <v>124</v>
      </c>
      <c r="E14" s="34" t="s">
        <v>110</v>
      </c>
      <c r="F14" s="20"/>
    </row>
    <row r="15" spans="1:6" x14ac:dyDescent="0.2">
      <c r="A15" s="19"/>
      <c r="B15" s="33" t="s">
        <v>66</v>
      </c>
      <c r="C15" s="33" t="s">
        <v>96</v>
      </c>
      <c r="D15" s="33" t="s">
        <v>125</v>
      </c>
      <c r="E15" s="33" t="s">
        <v>116</v>
      </c>
      <c r="F15" s="20"/>
    </row>
    <row r="16" spans="1:6" x14ac:dyDescent="0.2">
      <c r="A16" s="19"/>
      <c r="B16" s="33" t="s">
        <v>67</v>
      </c>
      <c r="C16" s="33" t="s">
        <v>97</v>
      </c>
      <c r="D16" s="33" t="s">
        <v>126</v>
      </c>
      <c r="E16" s="33" t="s">
        <v>111</v>
      </c>
      <c r="F16" s="20"/>
    </row>
    <row r="17" spans="1:6" x14ac:dyDescent="0.2">
      <c r="A17" s="19"/>
      <c r="B17" s="33" t="s">
        <v>68</v>
      </c>
      <c r="C17" s="33" t="s">
        <v>98</v>
      </c>
      <c r="D17" s="33" t="s">
        <v>127</v>
      </c>
      <c r="E17" s="33" t="s">
        <v>117</v>
      </c>
      <c r="F17" s="20"/>
    </row>
    <row r="18" spans="1:6" x14ac:dyDescent="0.2">
      <c r="A18" s="19"/>
      <c r="B18" s="33" t="s">
        <v>69</v>
      </c>
      <c r="C18" s="33" t="s">
        <v>99</v>
      </c>
      <c r="D18" s="33" t="s">
        <v>128</v>
      </c>
      <c r="E18" s="33" t="s">
        <v>112</v>
      </c>
      <c r="F18" s="20"/>
    </row>
    <row r="19" spans="1:6" x14ac:dyDescent="0.2">
      <c r="A19" s="19"/>
      <c r="B19" s="33" t="s">
        <v>87</v>
      </c>
      <c r="C19" s="33" t="s">
        <v>100</v>
      </c>
      <c r="D19" s="33" t="s">
        <v>130</v>
      </c>
      <c r="E19" s="33" t="s">
        <v>118</v>
      </c>
      <c r="F19" s="20"/>
    </row>
    <row r="20" spans="1:6" x14ac:dyDescent="0.2">
      <c r="A20" s="19"/>
      <c r="B20" s="33" t="s">
        <v>88</v>
      </c>
      <c r="C20" s="33" t="s">
        <v>101</v>
      </c>
      <c r="D20" s="33" t="s">
        <v>101</v>
      </c>
      <c r="E20" s="33" t="s">
        <v>113</v>
      </c>
      <c r="F20" s="20"/>
    </row>
    <row r="21" spans="1:6" x14ac:dyDescent="0.2">
      <c r="A21" s="19"/>
      <c r="B21" s="33" t="s">
        <v>89</v>
      </c>
      <c r="C21" s="33" t="s">
        <v>102</v>
      </c>
      <c r="D21" s="33" t="s">
        <v>129</v>
      </c>
      <c r="E21" s="33" t="s">
        <v>119</v>
      </c>
      <c r="F21" s="20"/>
    </row>
    <row r="22" spans="1:6" x14ac:dyDescent="0.2">
      <c r="A22" s="19"/>
      <c r="B22" s="33" t="s">
        <v>90</v>
      </c>
      <c r="C22" s="33" t="s">
        <v>103</v>
      </c>
      <c r="D22" s="33" t="s">
        <v>103</v>
      </c>
      <c r="E22" s="33" t="s">
        <v>120</v>
      </c>
      <c r="F22" s="20"/>
    </row>
    <row r="23" spans="1:6" x14ac:dyDescent="0.2">
      <c r="A23" s="19"/>
      <c r="B23" s="33" t="s">
        <v>91</v>
      </c>
      <c r="C23" s="33" t="s">
        <v>104</v>
      </c>
      <c r="D23" s="33" t="s">
        <v>134</v>
      </c>
      <c r="E23" s="33" t="s">
        <v>121</v>
      </c>
      <c r="F23" s="20"/>
    </row>
    <row r="24" spans="1:6" ht="25.5" x14ac:dyDescent="0.2">
      <c r="A24" s="19"/>
      <c r="B24" s="33" t="s">
        <v>145</v>
      </c>
      <c r="C24" s="33" t="s">
        <v>148</v>
      </c>
      <c r="D24" s="33" t="s">
        <v>146</v>
      </c>
      <c r="E24" s="33" t="s">
        <v>147</v>
      </c>
      <c r="F24" s="20"/>
    </row>
    <row r="25" spans="1:6" x14ac:dyDescent="0.2">
      <c r="A25" s="19"/>
      <c r="B25" s="33"/>
      <c r="C25" s="33"/>
      <c r="D25" s="33"/>
      <c r="E25" s="33"/>
      <c r="F25" s="20"/>
    </row>
    <row r="26" spans="1:6" x14ac:dyDescent="0.2">
      <c r="A26" s="19"/>
      <c r="C26" s="33"/>
      <c r="D26" s="33"/>
      <c r="E26" s="34"/>
      <c r="F26" s="20"/>
    </row>
    <row r="27" spans="1:6" x14ac:dyDescent="0.2">
      <c r="A27" s="19"/>
      <c r="B27" s="20"/>
      <c r="C27" s="20"/>
      <c r="D27" s="20"/>
      <c r="E27" s="20"/>
      <c r="F27" s="20"/>
    </row>
    <row r="28" spans="1:6" x14ac:dyDescent="0.2">
      <c r="A28" s="20" t="s">
        <v>32</v>
      </c>
      <c r="B28" s="17" t="s">
        <v>37</v>
      </c>
      <c r="C28" s="17" t="s">
        <v>13</v>
      </c>
      <c r="D28" s="17" t="s">
        <v>76</v>
      </c>
      <c r="E28" s="17" t="s">
        <v>76</v>
      </c>
      <c r="F28" s="20"/>
    </row>
    <row r="29" spans="1:6" x14ac:dyDescent="0.2">
      <c r="A29" s="20"/>
      <c r="B29" s="17" t="s">
        <v>38</v>
      </c>
      <c r="C29" s="17" t="s">
        <v>7</v>
      </c>
      <c r="D29" s="17" t="s">
        <v>7</v>
      </c>
      <c r="E29" s="17" t="s">
        <v>7</v>
      </c>
      <c r="F29" s="20"/>
    </row>
    <row r="30" spans="1:6" x14ac:dyDescent="0.2">
      <c r="A30" s="20"/>
      <c r="B30" s="17" t="s">
        <v>39</v>
      </c>
      <c r="C30" s="17" t="s">
        <v>15</v>
      </c>
      <c r="D30" s="17" t="s">
        <v>15</v>
      </c>
      <c r="E30" s="17" t="s">
        <v>15</v>
      </c>
      <c r="F30" s="20"/>
    </row>
    <row r="31" spans="1:6" x14ac:dyDescent="0.2">
      <c r="A31" s="20"/>
      <c r="B31" s="17" t="s">
        <v>48</v>
      </c>
      <c r="C31" s="17" t="s">
        <v>12</v>
      </c>
      <c r="D31" s="17" t="s">
        <v>77</v>
      </c>
      <c r="E31" s="17" t="s">
        <v>77</v>
      </c>
      <c r="F31" s="20"/>
    </row>
    <row r="32" spans="1:6" x14ac:dyDescent="0.2">
      <c r="A32" s="20"/>
      <c r="B32" s="17" t="s">
        <v>49</v>
      </c>
      <c r="C32" s="17" t="s">
        <v>2</v>
      </c>
      <c r="D32" s="17" t="s">
        <v>2</v>
      </c>
      <c r="E32" s="17" t="s">
        <v>2</v>
      </c>
      <c r="F32" s="20"/>
    </row>
    <row r="33" spans="1:6" x14ac:dyDescent="0.2">
      <c r="A33" s="20"/>
      <c r="B33" s="17" t="s">
        <v>50</v>
      </c>
      <c r="C33" s="17" t="s">
        <v>0</v>
      </c>
      <c r="D33" s="17" t="s">
        <v>0</v>
      </c>
      <c r="E33" s="17" t="s">
        <v>0</v>
      </c>
      <c r="F33" s="20"/>
    </row>
    <row r="34" spans="1:6" x14ac:dyDescent="0.2">
      <c r="A34" s="20"/>
      <c r="B34" s="17" t="s">
        <v>51</v>
      </c>
      <c r="C34" s="17" t="s">
        <v>8</v>
      </c>
      <c r="D34" s="17" t="s">
        <v>8</v>
      </c>
      <c r="E34" s="17" t="s">
        <v>8</v>
      </c>
      <c r="F34" s="20"/>
    </row>
    <row r="35" spans="1:6" x14ac:dyDescent="0.2">
      <c r="A35" s="20"/>
      <c r="B35" s="17" t="s">
        <v>52</v>
      </c>
      <c r="C35" s="17" t="s">
        <v>17</v>
      </c>
      <c r="D35" s="17" t="s">
        <v>17</v>
      </c>
      <c r="E35" s="17" t="s">
        <v>17</v>
      </c>
      <c r="F35" s="20"/>
    </row>
    <row r="36" spans="1:6" x14ac:dyDescent="0.2">
      <c r="A36" s="20"/>
      <c r="B36" s="17" t="s">
        <v>53</v>
      </c>
      <c r="C36" s="17" t="s">
        <v>16</v>
      </c>
      <c r="D36" s="17" t="s">
        <v>16</v>
      </c>
      <c r="E36" s="17" t="s">
        <v>16</v>
      </c>
      <c r="F36" s="20"/>
    </row>
    <row r="37" spans="1:6" x14ac:dyDescent="0.2">
      <c r="A37" s="20"/>
      <c r="B37" s="17" t="s">
        <v>54</v>
      </c>
      <c r="C37" s="17" t="s">
        <v>1</v>
      </c>
      <c r="D37" s="17" t="s">
        <v>1</v>
      </c>
      <c r="E37" s="17" t="s">
        <v>1</v>
      </c>
      <c r="F37" s="20"/>
    </row>
    <row r="38" spans="1:6" x14ac:dyDescent="0.2">
      <c r="A38" s="20"/>
      <c r="B38" s="17" t="s">
        <v>55</v>
      </c>
      <c r="C38" s="17" t="s">
        <v>3</v>
      </c>
      <c r="D38" s="17" t="s">
        <v>3</v>
      </c>
      <c r="E38" s="17" t="s">
        <v>3</v>
      </c>
      <c r="F38" s="20"/>
    </row>
    <row r="39" spans="1:6" x14ac:dyDescent="0.2">
      <c r="A39" s="20"/>
      <c r="B39" s="17" t="s">
        <v>56</v>
      </c>
      <c r="C39" s="17" t="s">
        <v>4</v>
      </c>
      <c r="D39" s="17" t="s">
        <v>4</v>
      </c>
      <c r="E39" s="17" t="s">
        <v>4</v>
      </c>
      <c r="F39" s="20"/>
    </row>
    <row r="40" spans="1:6" x14ac:dyDescent="0.2">
      <c r="A40" s="20"/>
      <c r="B40" s="17" t="s">
        <v>57</v>
      </c>
      <c r="C40" s="17" t="s">
        <v>11</v>
      </c>
      <c r="D40" s="17" t="s">
        <v>11</v>
      </c>
      <c r="E40" s="17" t="s">
        <v>11</v>
      </c>
      <c r="F40" s="20"/>
    </row>
    <row r="41" spans="1:6" x14ac:dyDescent="0.2">
      <c r="A41" s="20"/>
      <c r="B41" s="17" t="s">
        <v>58</v>
      </c>
      <c r="C41" s="17" t="s">
        <v>20</v>
      </c>
      <c r="D41" s="17" t="s">
        <v>20</v>
      </c>
      <c r="E41" s="17" t="s">
        <v>20</v>
      </c>
      <c r="F41" s="20"/>
    </row>
    <row r="42" spans="1:6" x14ac:dyDescent="0.2">
      <c r="A42" s="20"/>
      <c r="B42" s="17" t="s">
        <v>59</v>
      </c>
      <c r="C42" s="17" t="s">
        <v>14</v>
      </c>
      <c r="D42" s="17" t="s">
        <v>14</v>
      </c>
      <c r="E42" s="17" t="s">
        <v>14</v>
      </c>
      <c r="F42" s="20"/>
    </row>
    <row r="43" spans="1:6" x14ac:dyDescent="0.2">
      <c r="A43" s="20"/>
      <c r="B43" s="17" t="s">
        <v>60</v>
      </c>
      <c r="C43" s="17" t="s">
        <v>5</v>
      </c>
      <c r="D43" s="17" t="s">
        <v>5</v>
      </c>
      <c r="E43" s="17" t="s">
        <v>5</v>
      </c>
      <c r="F43" s="20"/>
    </row>
    <row r="44" spans="1:6" x14ac:dyDescent="0.2">
      <c r="A44" s="20"/>
      <c r="B44" s="17" t="s">
        <v>61</v>
      </c>
      <c r="C44" s="17" t="s">
        <v>9</v>
      </c>
      <c r="D44" s="17" t="s">
        <v>9</v>
      </c>
      <c r="E44" s="17" t="s">
        <v>9</v>
      </c>
      <c r="F44" s="20"/>
    </row>
    <row r="45" spans="1:6" x14ac:dyDescent="0.2">
      <c r="A45" s="20"/>
      <c r="B45" s="17" t="s">
        <v>62</v>
      </c>
      <c r="C45" s="17" t="s">
        <v>6</v>
      </c>
      <c r="D45" s="17" t="s">
        <v>6</v>
      </c>
      <c r="E45" s="17" t="s">
        <v>6</v>
      </c>
      <c r="F45" s="20"/>
    </row>
    <row r="46" spans="1:6" x14ac:dyDescent="0.2">
      <c r="A46" s="20"/>
      <c r="B46" s="17" t="s">
        <v>63</v>
      </c>
      <c r="C46" s="17" t="s">
        <v>10</v>
      </c>
      <c r="D46" s="17" t="s">
        <v>74</v>
      </c>
      <c r="E46" s="17" t="s">
        <v>75</v>
      </c>
      <c r="F46" s="20"/>
    </row>
    <row r="47" spans="1:6" x14ac:dyDescent="0.2">
      <c r="A47" s="20"/>
      <c r="B47" s="17" t="s">
        <v>64</v>
      </c>
      <c r="C47" s="17" t="s">
        <v>105</v>
      </c>
      <c r="D47" s="17" t="s">
        <v>131</v>
      </c>
      <c r="E47" s="17" t="s">
        <v>132</v>
      </c>
      <c r="F47" s="20"/>
    </row>
    <row r="48" spans="1:6" x14ac:dyDescent="0.2">
      <c r="A48" s="20"/>
      <c r="B48" s="20"/>
      <c r="C48" s="20"/>
      <c r="D48" s="20"/>
      <c r="E48" s="20"/>
      <c r="F48" s="20"/>
    </row>
    <row r="49" spans="1:6" ht="25.5" x14ac:dyDescent="0.2">
      <c r="A49" s="19"/>
      <c r="B49" s="17" t="s">
        <v>40</v>
      </c>
      <c r="C49" s="17" t="s">
        <v>18</v>
      </c>
      <c r="D49" s="17" t="s">
        <v>70</v>
      </c>
      <c r="E49" s="23" t="s">
        <v>73</v>
      </c>
      <c r="F49" s="20"/>
    </row>
    <row r="50" spans="1:6" ht="25.5" x14ac:dyDescent="0.2">
      <c r="A50" s="20"/>
      <c r="B50" s="17" t="s">
        <v>41</v>
      </c>
      <c r="C50" s="17" t="s">
        <v>19</v>
      </c>
      <c r="D50" s="17" t="s">
        <v>71</v>
      </c>
      <c r="E50" s="23" t="s">
        <v>72</v>
      </c>
      <c r="F50" s="20"/>
    </row>
    <row r="51" spans="1:6" ht="38.25" x14ac:dyDescent="0.2">
      <c r="A51" s="20"/>
      <c r="B51" s="17" t="s">
        <v>135</v>
      </c>
      <c r="C51" s="33" t="s">
        <v>136</v>
      </c>
      <c r="D51" s="33" t="s">
        <v>137</v>
      </c>
      <c r="E51" s="33" t="s">
        <v>138</v>
      </c>
      <c r="F51" s="20"/>
    </row>
    <row r="52" spans="1:6" x14ac:dyDescent="0.2">
      <c r="A52" s="20"/>
      <c r="B52" s="20"/>
      <c r="C52" s="20"/>
      <c r="D52" s="20"/>
      <c r="E52" s="20"/>
      <c r="F52" s="20"/>
    </row>
    <row r="53" spans="1:6" x14ac:dyDescent="0.2">
      <c r="A53" s="20" t="s">
        <v>33</v>
      </c>
      <c r="B53" s="17" t="s">
        <v>42</v>
      </c>
      <c r="C53" s="17" t="s">
        <v>44</v>
      </c>
      <c r="D53" s="17" t="s">
        <v>78</v>
      </c>
      <c r="E53" s="17" t="s">
        <v>79</v>
      </c>
      <c r="F53" s="20"/>
    </row>
    <row r="54" spans="1:6" x14ac:dyDescent="0.2">
      <c r="A54" s="20" t="s">
        <v>32</v>
      </c>
      <c r="B54" s="18" t="s">
        <v>43</v>
      </c>
      <c r="C54" s="24" t="s">
        <v>149</v>
      </c>
      <c r="D54" s="24" t="s">
        <v>150</v>
      </c>
      <c r="E54" s="24" t="s">
        <v>151</v>
      </c>
      <c r="F54" s="20"/>
    </row>
    <row r="55" spans="1:6" s="27" customFormat="1" ht="13.5" thickBot="1" x14ac:dyDescent="0.25">
      <c r="A55" s="26"/>
      <c r="B55" s="26"/>
      <c r="C55" s="26"/>
      <c r="D55" s="26"/>
      <c r="E55" s="26"/>
      <c r="F55" s="26"/>
    </row>
    <row r="56" spans="1:6" x14ac:dyDescent="0.2">
      <c r="A56" s="19"/>
      <c r="B56" s="22"/>
      <c r="C56" s="22"/>
      <c r="D56" s="20"/>
      <c r="E56" s="20"/>
      <c r="F56" s="20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C7E3B5B685244E9F316DC5AF52F3F3" ma:contentTypeVersion="6" ma:contentTypeDescription="Ein neues Dokument erstellen." ma:contentTypeScope="" ma:versionID="7b0ac3e40415fce21c673bcd37683450">
  <xsd:schema xmlns:xsd="http://www.w3.org/2001/XMLSchema" xmlns:xs="http://www.w3.org/2001/XMLSchema" xmlns:p="http://schemas.microsoft.com/office/2006/metadata/properties" xmlns:ns1="http://schemas.microsoft.com/sharepoint/v3" xmlns:ns2="a85bdc46-611b-4a7e-936f-e8248c6e1bca" targetNamespace="http://schemas.microsoft.com/office/2006/metadata/properties" ma:root="true" ma:fieldsID="c84beba5f21113234e66bf1e3cd02a40" ns1:_="" ns2:_="">
    <xsd:import namespace="http://schemas.microsoft.com/sharepoint/v3"/>
    <xsd:import namespace="a85bdc46-611b-4a7e-936f-e8248c6e1bc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bdc46-611b-4a7e-936f-e8248c6e1bca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a85bdc46-611b-4a7e-936f-e8248c6e1bca">1003</Benutzerdefinierte_x0020_ID>
    <Kategorie xmlns="a85bdc46-611b-4a7e-936f-e8248c6e1bca">Beherbergungsstatistik</Kategorie>
    <Titel_DE xmlns="a85bdc46-611b-4a7e-936f-e8248c6e1bca">Beherbergungsstatistik Graubuenden, Bruttozimmerauslastung 2024-2026</Titel_DE>
    <PublishingExpirationDate xmlns="http://schemas.microsoft.com/sharepoint/v3" xsi:nil="true"/>
    <PublishingStartDate xmlns="http://schemas.microsoft.com/sharepoint/v3" xsi:nil="true"/>
    <Titel_IT xmlns="a85bdc46-611b-4a7e-936f-e8248c6e1bca">Statistica dei pernottamenti turistici dei Grigioni, occupazione delle camere lorda 2024-2026</Titel_IT>
    <Titel_RM xmlns="a85bdc46-611b-4a7e-936f-e8248c6e1bca">Statistica d'alloschament en il Grischun, occupaziun da las chombras brutta 2024-2026</Titel_RM>
  </documentManagement>
</p:properties>
</file>

<file path=customXml/itemProps1.xml><?xml version="1.0" encoding="utf-8"?>
<ds:datastoreItem xmlns:ds="http://schemas.openxmlformats.org/officeDocument/2006/customXml" ds:itemID="{62AE3DAD-558F-44AB-A696-375232772D09}"/>
</file>

<file path=customXml/itemProps2.xml><?xml version="1.0" encoding="utf-8"?>
<ds:datastoreItem xmlns:ds="http://schemas.openxmlformats.org/officeDocument/2006/customXml" ds:itemID="{5F826C5B-AD54-471C-8AD2-41BE9AB86632}"/>
</file>

<file path=customXml/itemProps3.xml><?xml version="1.0" encoding="utf-8"?>
<ds:datastoreItem xmlns:ds="http://schemas.openxmlformats.org/officeDocument/2006/customXml" ds:itemID="{4815CBF1-D8DA-4345-BEAA-0BA3CF78F02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Auslastung_Occupaziun_Occupazio</vt:lpstr>
      <vt:lpstr>Uebersetzungen</vt:lpstr>
      <vt:lpstr>Auslastung_Occupaziun_Occupazio!Druckbereich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Beherbergungsstatistik Graubünden Bruttozimmerauslastung</dc:title>
  <dc:creator>Luzius Stricker</dc:creator>
  <cp:lastModifiedBy>Monstein Urs (AWT GR)</cp:lastModifiedBy>
  <cp:lastPrinted>2025-03-07T13:30:09Z</cp:lastPrinted>
  <dcterms:created xsi:type="dcterms:W3CDTF">2012-02-14T12:10:20Z</dcterms:created>
  <dcterms:modified xsi:type="dcterms:W3CDTF">2026-03-05T08:19:56Z</dcterms:modified>
  <cp:category>Beherbergungsstatistik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2026-02-26T07:26:45Z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7e6e764c-a876-45c5-ade9-8995df3772a6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0x01010061C7E3B5B685244E9F316DC5AF52F3F3</vt:lpwstr>
  </property>
</Properties>
</file>