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25.bin" ContentType="application/vnd.ms-office.activeX"/>
  <Override PartName="/xl/activeX/activeX20.bin" ContentType="application/vnd.ms-office.activeX"/>
  <Override PartName="/xl/activeX/activeX20.xml" ContentType="application/vnd.ms-office.activeX+xml"/>
  <Override PartName="/xl/activeX/activeX21.xml" ContentType="application/vnd.ms-office.activeX+xml"/>
  <Override PartName="/xl/activeX/activeX26.xml" ContentType="application/vnd.ms-office.activeX+xml"/>
  <Override PartName="/xl/activeX/activeX2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activeX/activeX19.bin" ContentType="application/vnd.ms-office.activeX"/>
  <Override PartName="/xl/activeX/activeX19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18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12.bin" ContentType="application/vnd.ms-office.activeX"/>
  <Override PartName="/xl/activeX/activeX25.xml" ContentType="application/vnd.ms-office.activeX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ARA\AccDB\Formulare\B4\"/>
    </mc:Choice>
  </mc:AlternateContent>
  <xr:revisionPtr revIDLastSave="0" documentId="14_{F3D96BE4-08B5-41EA-9CBE-0518D492A712}" xr6:coauthVersionLast="47" xr6:coauthVersionMax="47" xr10:uidLastSave="{00000000-0000-0000-0000-000000000000}"/>
  <bookViews>
    <workbookView xWindow="2730" yWindow="2730" windowWidth="28800" windowHeight="15345" activeTab="1" xr2:uid="{00000000-000D-0000-FFFF-FFFF00000000}"/>
  </bookViews>
  <sheets>
    <sheet name="Info" sheetId="6" r:id="rId1"/>
    <sheet name="Betriebsdaten" sheetId="1" r:id="rId2"/>
    <sheet name="Entsorgung" sheetId="3" r:id="rId3"/>
    <sheet name="ChemischeDaten" sheetId="7" state="hidden" r:id="rId4"/>
    <sheet name="KSAbnehmerVerzeichnis" sheetId="2" state="hidden" r:id="rId5"/>
    <sheet name="Texte" sheetId="10" state="hidden" r:id="rId6"/>
    <sheet name="ARAListe" sheetId="8" state="hidden" r:id="rId7"/>
    <sheet name="AusgabeB4" sheetId="5" state="hidden" r:id="rId8"/>
  </sheets>
  <definedNames>
    <definedName name="_xlnm.Print_Area" localSheetId="1">Betriebsdaten!$A$1:$D$48</definedName>
    <definedName name="_xlnm.Print_Area" localSheetId="3">ChemischeDaten!$A$1:$U$91</definedName>
    <definedName name="_xlnm.Print_Area" localSheetId="2">Entsorgung!$A$1:$G$103</definedName>
    <definedName name="_xlnm.Print_Area" localSheetId="4">KSAbnehmerVerzeichnis!$A:$L</definedName>
    <definedName name="_xlnm.Print_Titles" localSheetId="3">ChemischeDaten!$1:$4</definedName>
    <definedName name="_xlnm.Print_Titles" localSheetId="2">Entsorgung!$1:$4</definedName>
    <definedName name="K_ARAListe">ARAListe!$A$1:$E$156</definedName>
    <definedName name="K_ARAName">Betriebsdaten!$D$4</definedName>
    <definedName name="K_ARANr">Betriebsdaten!$D$5</definedName>
    <definedName name="K_Betriebsjahr">Betriebsdaten!$D$2</definedName>
    <definedName name="K_Italienisch">Betriebsdaten!$I$2</definedName>
    <definedName name="K_SpracheSpalte">Betriebsdaten!$J$2</definedName>
    <definedName name="K_Texte">Texte!$A$1:$C$400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4" i="8" l="1"/>
  <c r="A155" i="8" s="1"/>
  <c r="B156" i="8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" i="8" l="1"/>
  <c r="E1" i="8"/>
  <c r="D1" i="8"/>
  <c r="C1" i="8"/>
  <c r="B1" i="8"/>
  <c r="B2" i="8"/>
  <c r="D4" i="1" l="1"/>
  <c r="C4" i="2" s="1"/>
  <c r="C3" i="3" l="1"/>
  <c r="B3" i="7"/>
  <c r="D5" i="1"/>
  <c r="L4" i="2" s="1"/>
  <c r="G3" i="3" l="1"/>
  <c r="B4" i="7"/>
  <c r="J2" i="1"/>
  <c r="C27" i="2" l="1"/>
  <c r="A27" i="2"/>
  <c r="D27" i="2"/>
  <c r="L28" i="2"/>
  <c r="L10" i="2"/>
  <c r="D10" i="2"/>
  <c r="K4" i="2"/>
  <c r="B10" i="2"/>
  <c r="I10" i="2"/>
  <c r="A10" i="2"/>
  <c r="A2" i="2"/>
  <c r="H10" i="2"/>
  <c r="A8" i="2"/>
  <c r="F10" i="2"/>
  <c r="C10" i="2"/>
  <c r="G10" i="2"/>
  <c r="B6" i="2"/>
  <c r="A4" i="2"/>
  <c r="J10" i="2"/>
  <c r="E10" i="2"/>
  <c r="A1" i="2"/>
  <c r="K10" i="2"/>
  <c r="C13" i="1"/>
  <c r="C15" i="1"/>
  <c r="B34" i="1"/>
  <c r="B26" i="1"/>
  <c r="B18" i="1"/>
  <c r="B8" i="1"/>
  <c r="C30" i="1"/>
  <c r="C20" i="1"/>
  <c r="A17" i="1"/>
  <c r="A7" i="1"/>
  <c r="B20" i="1"/>
  <c r="B35" i="1"/>
  <c r="B32" i="1"/>
  <c r="B24" i="1"/>
  <c r="B15" i="1"/>
  <c r="A5" i="1"/>
  <c r="B22" i="1"/>
  <c r="B13" i="1"/>
  <c r="B29" i="1"/>
  <c r="B12" i="1"/>
  <c r="A37" i="1"/>
  <c r="A11" i="1"/>
  <c r="B27" i="1"/>
  <c r="B9" i="1"/>
  <c r="B31" i="1"/>
  <c r="B23" i="1"/>
  <c r="B14" i="1"/>
  <c r="A4" i="1"/>
  <c r="B30" i="1"/>
  <c r="F3" i="1"/>
  <c r="B21" i="1"/>
  <c r="A2" i="1"/>
  <c r="B28" i="1"/>
  <c r="A1" i="1"/>
  <c r="B19" i="1"/>
  <c r="A71" i="7"/>
  <c r="R58" i="7"/>
  <c r="H56" i="7"/>
  <c r="H55" i="7"/>
  <c r="R40" i="7"/>
  <c r="J40" i="7"/>
  <c r="B40" i="7"/>
  <c r="E39" i="7"/>
  <c r="N24" i="7"/>
  <c r="F24" i="7"/>
  <c r="L23" i="7"/>
  <c r="M23" i="7"/>
  <c r="U22" i="7"/>
  <c r="M22" i="7"/>
  <c r="E22" i="7"/>
  <c r="P14" i="7"/>
  <c r="J8" i="7"/>
  <c r="B8" i="7"/>
  <c r="F7" i="7"/>
  <c r="G6" i="7"/>
  <c r="A65" i="7"/>
  <c r="A57" i="7"/>
  <c r="A46" i="7"/>
  <c r="A35" i="7"/>
  <c r="A27" i="7"/>
  <c r="A16" i="7"/>
  <c r="A6" i="7"/>
  <c r="A45" i="7"/>
  <c r="A26" i="7"/>
  <c r="B55" i="7"/>
  <c r="K24" i="7"/>
  <c r="J22" i="7"/>
  <c r="B6" i="7"/>
  <c r="A43" i="7"/>
  <c r="L39" i="7"/>
  <c r="H22" i="7"/>
  <c r="J6" i="7"/>
  <c r="A30" i="7"/>
  <c r="R67" i="7"/>
  <c r="R57" i="7"/>
  <c r="G56" i="7"/>
  <c r="F55" i="7"/>
  <c r="Q40" i="7"/>
  <c r="I40" i="7"/>
  <c r="T39" i="7"/>
  <c r="B39" i="7"/>
  <c r="M24" i="7"/>
  <c r="E24" i="7"/>
  <c r="J23" i="7"/>
  <c r="K23" i="7"/>
  <c r="T22" i="7"/>
  <c r="L22" i="7"/>
  <c r="D22" i="7"/>
  <c r="P13" i="7"/>
  <c r="I8" i="7"/>
  <c r="H7" i="7"/>
  <c r="D7" i="7"/>
  <c r="F6" i="7"/>
  <c r="A64" i="7"/>
  <c r="A54" i="7"/>
  <c r="A34" i="7"/>
  <c r="A4" i="7"/>
  <c r="G40" i="7"/>
  <c r="E23" i="7"/>
  <c r="G8" i="7"/>
  <c r="A51" i="7"/>
  <c r="A1" i="7"/>
  <c r="I24" i="7"/>
  <c r="P18" i="7"/>
  <c r="A60" i="7"/>
  <c r="R66" i="7"/>
  <c r="R56" i="7"/>
  <c r="F56" i="7"/>
  <c r="D55" i="7"/>
  <c r="P40" i="7"/>
  <c r="H40" i="7"/>
  <c r="R39" i="7"/>
  <c r="B38" i="7"/>
  <c r="L24" i="7"/>
  <c r="D24" i="7"/>
  <c r="H23" i="7"/>
  <c r="I23" i="7"/>
  <c r="S22" i="7"/>
  <c r="K22" i="7"/>
  <c r="C22" i="7"/>
  <c r="P11" i="7"/>
  <c r="H8" i="7"/>
  <c r="E7" i="7"/>
  <c r="C7" i="7"/>
  <c r="E6" i="7"/>
  <c r="A63" i="7"/>
  <c r="A52" i="7"/>
  <c r="A44" i="7"/>
  <c r="A33" i="7"/>
  <c r="A25" i="7"/>
  <c r="A14" i="7"/>
  <c r="A3" i="7"/>
  <c r="R65" i="7"/>
  <c r="R55" i="7"/>
  <c r="P39" i="7"/>
  <c r="G23" i="7"/>
  <c r="P10" i="7"/>
  <c r="A62" i="7"/>
  <c r="A13" i="7"/>
  <c r="Q24" i="7"/>
  <c r="P22" i="7"/>
  <c r="J7" i="7"/>
  <c r="A49" i="7"/>
  <c r="R63" i="7"/>
  <c r="Q54" i="7"/>
  <c r="D56" i="7"/>
  <c r="B54" i="7"/>
  <c r="N40" i="7"/>
  <c r="F40" i="7"/>
  <c r="N39" i="7"/>
  <c r="R24" i="7"/>
  <c r="J24" i="7"/>
  <c r="B24" i="7"/>
  <c r="B23" i="7"/>
  <c r="F23" i="7"/>
  <c r="Q22" i="7"/>
  <c r="I22" i="7"/>
  <c r="P19" i="7"/>
  <c r="P9" i="7"/>
  <c r="F8" i="7"/>
  <c r="K7" i="7"/>
  <c r="K6" i="7"/>
  <c r="C6" i="7"/>
  <c r="A61" i="7"/>
  <c r="A50" i="7"/>
  <c r="A42" i="7"/>
  <c r="A31" i="7"/>
  <c r="A20" i="7"/>
  <c r="A12" i="7"/>
  <c r="A1" i="3"/>
  <c r="R62" i="7"/>
  <c r="K56" i="7"/>
  <c r="C56" i="7"/>
  <c r="U40" i="7"/>
  <c r="R23" i="7"/>
  <c r="A68" i="7"/>
  <c r="A11" i="7"/>
  <c r="R61" i="7"/>
  <c r="J56" i="7"/>
  <c r="B56" i="7"/>
  <c r="T40" i="7"/>
  <c r="L40" i="7"/>
  <c r="D40" i="7"/>
  <c r="J39" i="7"/>
  <c r="P24" i="7"/>
  <c r="H24" i="7"/>
  <c r="P23" i="7"/>
  <c r="Q23" i="7"/>
  <c r="C23" i="7"/>
  <c r="O22" i="7"/>
  <c r="G22" i="7"/>
  <c r="P16" i="7"/>
  <c r="O6" i="7"/>
  <c r="D8" i="7"/>
  <c r="I7" i="7"/>
  <c r="I6" i="7"/>
  <c r="A67" i="7"/>
  <c r="A59" i="7"/>
  <c r="A48" i="7"/>
  <c r="A38" i="7"/>
  <c r="A29" i="7"/>
  <c r="A18" i="7"/>
  <c r="A10" i="7"/>
  <c r="A47" i="7"/>
  <c r="A28" i="7"/>
  <c r="A9" i="7"/>
  <c r="E56" i="7"/>
  <c r="S24" i="7"/>
  <c r="R22" i="7"/>
  <c r="B7" i="7"/>
  <c r="A32" i="7"/>
  <c r="E40" i="7"/>
  <c r="S23" i="7"/>
  <c r="P7" i="7"/>
  <c r="A41" i="7"/>
  <c r="R60" i="7"/>
  <c r="I56" i="7"/>
  <c r="J55" i="7"/>
  <c r="S40" i="7"/>
  <c r="K40" i="7"/>
  <c r="C40" i="7"/>
  <c r="H39" i="7"/>
  <c r="O24" i="7"/>
  <c r="G24" i="7"/>
  <c r="N23" i="7"/>
  <c r="O23" i="7"/>
  <c r="B22" i="7"/>
  <c r="N22" i="7"/>
  <c r="F22" i="7"/>
  <c r="P15" i="7"/>
  <c r="K8" i="7"/>
  <c r="C8" i="7"/>
  <c r="G7" i="7"/>
  <c r="H6" i="7"/>
  <c r="A66" i="7"/>
  <c r="A58" i="7"/>
  <c r="A36" i="7"/>
  <c r="A17" i="7"/>
  <c r="A15" i="7"/>
  <c r="O40" i="7"/>
  <c r="C24" i="7"/>
  <c r="P20" i="7"/>
  <c r="D6" i="7"/>
  <c r="A22" i="7"/>
  <c r="M40" i="7"/>
  <c r="D23" i="7"/>
  <c r="E8" i="7"/>
  <c r="A19" i="7"/>
  <c r="B101" i="3"/>
  <c r="B88" i="3"/>
  <c r="E92" i="3"/>
  <c r="G90" i="3"/>
  <c r="D89" i="3"/>
  <c r="A86" i="3"/>
  <c r="E61" i="3"/>
  <c r="F56" i="3"/>
  <c r="B48" i="3"/>
  <c r="A40" i="3"/>
  <c r="A22" i="3"/>
  <c r="C29" i="3"/>
  <c r="G11" i="3"/>
  <c r="E42" i="3"/>
  <c r="B89" i="3"/>
  <c r="G22" i="3"/>
  <c r="B97" i="3"/>
  <c r="G93" i="3"/>
  <c r="D92" i="3"/>
  <c r="F90" i="3"/>
  <c r="C89" i="3"/>
  <c r="G87" i="3"/>
  <c r="B61" i="3"/>
  <c r="F55" i="3"/>
  <c r="A47" i="3"/>
  <c r="B38" i="3"/>
  <c r="A16" i="3"/>
  <c r="C25" i="3"/>
  <c r="M5" i="3"/>
  <c r="C31" i="3"/>
  <c r="E89" i="3"/>
  <c r="B49" i="3"/>
  <c r="A95" i="3"/>
  <c r="F93" i="3"/>
  <c r="C92" i="3"/>
  <c r="E90" i="3"/>
  <c r="G88" i="3"/>
  <c r="F87" i="3"/>
  <c r="F60" i="3"/>
  <c r="B55" i="3"/>
  <c r="B45" i="3"/>
  <c r="A37" i="3"/>
  <c r="G16" i="3"/>
  <c r="C24" i="3"/>
  <c r="F89" i="3"/>
  <c r="B50" i="3"/>
  <c r="C91" i="3"/>
  <c r="F57" i="3"/>
  <c r="B93" i="3"/>
  <c r="E93" i="3"/>
  <c r="G91" i="3"/>
  <c r="D90" i="3"/>
  <c r="F88" i="3"/>
  <c r="E87" i="3"/>
  <c r="B60" i="3"/>
  <c r="B53" i="3"/>
  <c r="B44" i="3"/>
  <c r="G35" i="3"/>
  <c r="E32" i="3"/>
  <c r="C23" i="3"/>
  <c r="B90" i="3"/>
  <c r="C88" i="3"/>
  <c r="A28" i="3"/>
  <c r="B87" i="3"/>
  <c r="C30" i="3"/>
  <c r="B92" i="3"/>
  <c r="D93" i="3"/>
  <c r="F91" i="3"/>
  <c r="C90" i="3"/>
  <c r="E88" i="3"/>
  <c r="D87" i="3"/>
  <c r="I50" i="3"/>
  <c r="B52" i="3"/>
  <c r="B43" i="3"/>
  <c r="A34" i="3"/>
  <c r="E26" i="3"/>
  <c r="C19" i="3"/>
  <c r="G92" i="3"/>
  <c r="A75" i="3"/>
  <c r="C17" i="3"/>
  <c r="B41" i="3"/>
  <c r="B91" i="3"/>
  <c r="C93" i="3"/>
  <c r="E91" i="3"/>
  <c r="G89" i="3"/>
  <c r="D88" i="3"/>
  <c r="C87" i="3"/>
  <c r="I49" i="3"/>
  <c r="B51" i="3"/>
  <c r="E41" i="3"/>
  <c r="G28" i="3"/>
  <c r="E20" i="3"/>
  <c r="C18" i="3"/>
  <c r="D91" i="3"/>
  <c r="F58" i="3"/>
  <c r="F92" i="3"/>
  <c r="B73" i="3"/>
  <c r="G12" i="3"/>
  <c r="C13" i="3"/>
  <c r="C12" i="3"/>
  <c r="C11" i="3"/>
  <c r="C7" i="3"/>
  <c r="A7" i="3"/>
  <c r="A5" i="3"/>
  <c r="F8" i="3"/>
  <c r="F3" i="3"/>
  <c r="E14" i="3"/>
  <c r="G10" i="3"/>
  <c r="A10" i="3"/>
  <c r="A3" i="3"/>
  <c r="G7" i="3"/>
  <c r="E7" i="3"/>
  <c r="D7" i="3"/>
  <c r="F11" i="3"/>
  <c r="E73" i="3" l="1"/>
  <c r="Z2" i="5" s="1"/>
  <c r="D26" i="3"/>
  <c r="AH2" i="5" s="1"/>
  <c r="F25" i="3"/>
  <c r="F24" i="3"/>
  <c r="F23" i="3"/>
  <c r="D20" i="3"/>
  <c r="AF2" i="5" s="1"/>
  <c r="F19" i="3"/>
  <c r="F18" i="3"/>
  <c r="F17" i="3"/>
  <c r="AC2" i="5"/>
  <c r="AB2" i="5"/>
  <c r="Y2" i="5"/>
  <c r="D32" i="3"/>
  <c r="AJ2" i="5" s="1"/>
  <c r="D14" i="3"/>
  <c r="AD2" i="5" s="1"/>
  <c r="AM2" i="5"/>
  <c r="AL2" i="5"/>
  <c r="X2" i="5"/>
  <c r="C2" i="5"/>
  <c r="F12" i="3"/>
  <c r="F13" i="3"/>
  <c r="F29" i="3"/>
  <c r="F30" i="3"/>
  <c r="F31" i="3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J4" i="1"/>
  <c r="F26" i="3" l="1"/>
  <c r="AI2" i="5" s="1"/>
  <c r="F32" i="3"/>
  <c r="AK2" i="5" s="1"/>
  <c r="F20" i="3"/>
  <c r="AG2" i="5" s="1"/>
  <c r="F14" i="3"/>
  <c r="B2" i="5"/>
  <c r="A2" i="5"/>
  <c r="F34" i="3" l="1"/>
  <c r="AE2" i="5"/>
</calcChain>
</file>

<file path=xl/sharedStrings.xml><?xml version="1.0" encoding="utf-8"?>
<sst xmlns="http://schemas.openxmlformats.org/spreadsheetml/2006/main" count="979" uniqueCount="644">
  <si>
    <t>ARA-Name</t>
  </si>
  <si>
    <t>ARA Nr.</t>
  </si>
  <si>
    <t>Abwassermenge</t>
  </si>
  <si>
    <t>Klärschlammanfall (Eigenproduktion)</t>
  </si>
  <si>
    <t>Frischschlamm-Menge Total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</si>
  <si>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/a</t>
    </r>
  </si>
  <si>
    <t>t TS/a</t>
  </si>
  <si>
    <t>Energie</t>
  </si>
  <si>
    <t>Stromerzeugung durch Gasmotor</t>
  </si>
  <si>
    <t>Strombezug vom Elektrizitätswerk</t>
  </si>
  <si>
    <t>kWh/a</t>
  </si>
  <si>
    <t>Stromverbrauch biologische Stufe</t>
  </si>
  <si>
    <t>Stromverbrauch für Abwasserpumpwerk auf ARA</t>
  </si>
  <si>
    <t>Stromverbrauch der ARA Total</t>
  </si>
  <si>
    <t>Gesamte Abwassermenge</t>
  </si>
  <si>
    <t>Biologisch gereinige Abwassermenge</t>
  </si>
  <si>
    <t>Faulgaserzeugung Total</t>
  </si>
  <si>
    <t>Faulgasverbrauch Heizung</t>
  </si>
  <si>
    <t>Faulgasverbrauch Gasmotor</t>
  </si>
  <si>
    <t>Abfackelung</t>
  </si>
  <si>
    <t>Ergdasverbrauch Total</t>
  </si>
  <si>
    <t>Heizölverbrauch Total</t>
  </si>
  <si>
    <t>l/a</t>
  </si>
  <si>
    <t>Name</t>
  </si>
  <si>
    <t>Stromverkauf an (Abnehmer)</t>
  </si>
  <si>
    <t>Faulgasverkauf an (Abnehmer)</t>
  </si>
  <si>
    <t xml:space="preserve">                         Menge</t>
  </si>
  <si>
    <t xml:space="preserve">                            Menge</t>
  </si>
  <si>
    <t>ARAName</t>
  </si>
  <si>
    <t>D</t>
  </si>
  <si>
    <t>Arosa</t>
  </si>
  <si>
    <t>I</t>
  </si>
  <si>
    <t>Avers (Cresta)</t>
  </si>
  <si>
    <t>Breil/Brigels (Sorts)</t>
  </si>
  <si>
    <t>Brusio (Li Geri)</t>
  </si>
  <si>
    <t>Castaneda</t>
  </si>
  <si>
    <t>Cazis (Waldau)</t>
  </si>
  <si>
    <t>Chur</t>
  </si>
  <si>
    <t>Davos (Gadenstatt)</t>
  </si>
  <si>
    <t>Davos (Glaris)</t>
  </si>
  <si>
    <t>Davos (Monstein)</t>
  </si>
  <si>
    <t>Disentis/Mustér (Disla)</t>
  </si>
  <si>
    <t>Disentis/Mustér (Raveras)</t>
  </si>
  <si>
    <t>Domat/Ems (Tuma Lunga)</t>
  </si>
  <si>
    <t>Flims</t>
  </si>
  <si>
    <t>Lostallo</t>
  </si>
  <si>
    <t>Luzein (Dalvazza)</t>
  </si>
  <si>
    <t>Medel/Lucmagn (Curaglia)</t>
  </si>
  <si>
    <t>Medel/Lucmagn (Fuorns)</t>
  </si>
  <si>
    <t>Mesocco (San Bernardino)</t>
  </si>
  <si>
    <t>Poschiavo (Li Geri)</t>
  </si>
  <si>
    <t>Rhäzüns (Abfüllanlage)</t>
  </si>
  <si>
    <t>Rongellen</t>
  </si>
  <si>
    <t>Rossa</t>
  </si>
  <si>
    <t>Samnaun</t>
  </si>
  <si>
    <t>Schluein (Gruob)</t>
  </si>
  <si>
    <t>Scuol (Sot Ruinas)</t>
  </si>
  <si>
    <t>Seewis i.P. (Vorderes Prättigau)</t>
  </si>
  <si>
    <t>Sils i.E./Segl (Fex)</t>
  </si>
  <si>
    <t>Silvaplana</t>
  </si>
  <si>
    <t>Sufers</t>
  </si>
  <si>
    <t>Sumvitg (Laus)</t>
  </si>
  <si>
    <t>Trimmis (Rauchgaswäscher KVA)</t>
  </si>
  <si>
    <t>Trin (Dàbi)</t>
  </si>
  <si>
    <t>Trun (Zavragia)</t>
  </si>
  <si>
    <t>Tujetsch</t>
  </si>
  <si>
    <t>Tujetsch (Cavorgia)</t>
  </si>
  <si>
    <t>Vals (Camp)</t>
  </si>
  <si>
    <t>Vaz/Obervaz (Canius)</t>
  </si>
  <si>
    <t>Vaz/Obervaz (Faschas)</t>
  </si>
  <si>
    <t>Zernez</t>
  </si>
  <si>
    <t>Zernez (Brail)</t>
  </si>
  <si>
    <t>Zillis-Reischen (Val Schons)</t>
  </si>
  <si>
    <t>Trockensubstanz Frischschlamm (1 Kommastelle)</t>
  </si>
  <si>
    <t>Stabilisierte Schlamm-Menge Total (flüssig)</t>
  </si>
  <si>
    <t>Trockensubstanz stabilisierter Schlamm (1 Kommastelle)</t>
  </si>
  <si>
    <t>Faulgasverwertung Total (Erzeugung abzügl. Abfackelung)</t>
  </si>
  <si>
    <t>ARANr</t>
  </si>
  <si>
    <t>FrS_TSc</t>
  </si>
  <si>
    <t>FrS_Q</t>
  </si>
  <si>
    <t>StabS_Q</t>
  </si>
  <si>
    <t>StabS_TSc</t>
  </si>
  <si>
    <t>SProd_GM</t>
  </si>
  <si>
    <t>SBez_EW</t>
  </si>
  <si>
    <t>S_Verk</t>
  </si>
  <si>
    <t>S_Verbr_BB</t>
  </si>
  <si>
    <t>S_Verbr_PW</t>
  </si>
  <si>
    <t>S_Total</t>
  </si>
  <si>
    <t>Gas_Prod</t>
  </si>
  <si>
    <t>Gas_Heiz</t>
  </si>
  <si>
    <t>Gas_GM</t>
  </si>
  <si>
    <t>Gas_Fackel</t>
  </si>
  <si>
    <t>Q_Tot</t>
  </si>
  <si>
    <t>Q_Bio</t>
  </si>
  <si>
    <t>Gas_Verk</t>
  </si>
  <si>
    <t>Erdgas</t>
  </si>
  <si>
    <t>Oel</t>
  </si>
  <si>
    <t>Gas_Verbr</t>
  </si>
  <si>
    <t>A: Düngung</t>
  </si>
  <si>
    <t>Datum der Lieferung</t>
  </si>
  <si>
    <t>Adresse des Abnehmers</t>
  </si>
  <si>
    <t>W</t>
  </si>
  <si>
    <t>A</t>
  </si>
  <si>
    <t>Hyg</t>
  </si>
  <si>
    <t>FS</t>
  </si>
  <si>
    <t>ES</t>
  </si>
  <si>
    <t>GS</t>
  </si>
  <si>
    <t>KK</t>
  </si>
  <si>
    <t>Ort, Datum:</t>
  </si>
  <si>
    <t>Stempel/Unterschrift/Visum</t>
  </si>
  <si>
    <r>
      <t xml:space="preserve">Erklärungen: </t>
    </r>
    <r>
      <rPr>
        <b/>
        <sz val="10"/>
        <rFont val="Arial"/>
        <family val="2"/>
      </rPr>
      <t>W</t>
    </r>
    <r>
      <rPr>
        <sz val="10"/>
        <rFont val="Arial"/>
        <family val="2"/>
      </rPr>
      <t xml:space="preserve">: Wiesland, </t>
    </r>
    <r>
      <rPr>
        <b/>
        <sz val="10"/>
        <rFont val="Arial"/>
        <family val="2"/>
      </rPr>
      <t>A</t>
    </r>
    <r>
      <rPr>
        <sz val="10"/>
        <rFont val="Arial"/>
        <family val="2"/>
      </rPr>
      <t xml:space="preserve">: Ackerland, </t>
    </r>
    <r>
      <rPr>
        <b/>
        <sz val="10"/>
        <rFont val="Arial"/>
        <family val="2"/>
      </rPr>
      <t>Hyg</t>
    </r>
    <r>
      <rPr>
        <sz val="10"/>
        <rFont val="Arial"/>
        <family val="2"/>
      </rPr>
      <t xml:space="preserve">: Hygienisiert, </t>
    </r>
    <r>
      <rPr>
        <b/>
        <sz val="10"/>
        <rFont val="Arial"/>
        <family val="2"/>
      </rPr>
      <t>FS</t>
    </r>
    <r>
      <rPr>
        <sz val="10"/>
        <rFont val="Arial"/>
        <family val="2"/>
      </rPr>
      <t>: flüssiger Klärschlamm (</t>
    </r>
    <r>
      <rPr>
        <b/>
        <sz val="10"/>
        <rFont val="Arial"/>
        <family val="2"/>
      </rPr>
      <t>KS</t>
    </r>
    <r>
      <rPr>
        <sz val="10"/>
        <rFont val="Arial"/>
        <family val="2"/>
      </rPr>
      <t xml:space="preserve">), </t>
    </r>
    <r>
      <rPr>
        <b/>
        <sz val="10"/>
        <rFont val="Arial"/>
        <family val="2"/>
      </rPr>
      <t>ES</t>
    </r>
    <r>
      <rPr>
        <sz val="10"/>
        <rFont val="Arial"/>
        <family val="2"/>
      </rPr>
      <t xml:space="preserve">: entwässerter KS, </t>
    </r>
    <r>
      <rPr>
        <b/>
        <sz val="10"/>
        <rFont val="Arial"/>
        <family val="2"/>
      </rPr>
      <t>GS</t>
    </r>
    <r>
      <rPr>
        <sz val="10"/>
        <rFont val="Arial"/>
        <family val="2"/>
      </rPr>
      <t xml:space="preserve">: getrockneter KS, </t>
    </r>
    <r>
      <rPr>
        <b/>
        <sz val="10"/>
        <rFont val="Arial"/>
        <family val="2"/>
      </rPr>
      <t>KK</t>
    </r>
    <r>
      <rPr>
        <sz val="10"/>
        <rFont val="Arial"/>
        <family val="2"/>
      </rPr>
      <t>: kompostierter KS</t>
    </r>
  </si>
  <si>
    <t xml:space="preserve"> t TS</t>
  </si>
  <si>
    <t xml:space="preserve">der fremden ARA </t>
  </si>
  <si>
    <t>Entsorgungswege</t>
  </si>
  <si>
    <t>Konsistenz</t>
  </si>
  <si>
    <t>Menge</t>
  </si>
  <si>
    <t>Bemerkungen</t>
  </si>
  <si>
    <t>g/kg rsp. g/l</t>
  </si>
  <si>
    <t>t TS</t>
  </si>
  <si>
    <t>Weitere Entsorgungswege</t>
  </si>
  <si>
    <t>Total</t>
  </si>
  <si>
    <t>zutreffendes bitte anklicken</t>
  </si>
  <si>
    <t>Bitte vollständig ausfüllen bzw. anklicken.</t>
  </si>
  <si>
    <t>Berechnung</t>
  </si>
  <si>
    <t>Betriebsdaten</t>
  </si>
  <si>
    <t>Im Kombinationsfeld die ARA wählen</t>
  </si>
  <si>
    <t>In den gelben Eingabefeldern die Jahressummen der Daten eingeben</t>
  </si>
  <si>
    <t>Allgemeines</t>
  </si>
  <si>
    <t>Mit der Tabulatortaste kann jeweils auf das nächste Feld positioniert werden.</t>
  </si>
  <si>
    <t>Weitergabe der Daten</t>
  </si>
  <si>
    <t>ARA Nr.:</t>
  </si>
  <si>
    <t>Monat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</si>
  <si>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</si>
  <si>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</si>
  <si>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</si>
  <si>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</si>
  <si>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</si>
  <si>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</si>
  <si>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</si>
  <si>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</si>
  <si>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</si>
  <si>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</si>
  <si>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</si>
  <si>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</si>
  <si>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min. l/s</t>
  </si>
  <si>
    <t>max. l/s</t>
  </si>
  <si>
    <t>Wassertemperatur</t>
  </si>
  <si>
    <t>MPQ</t>
  </si>
  <si>
    <t>min. °C</t>
  </si>
  <si>
    <t>max. °C</t>
  </si>
  <si>
    <t>Probenahme</t>
  </si>
  <si>
    <t>MPT</t>
  </si>
  <si>
    <t>PNA</t>
  </si>
  <si>
    <t>PNS</t>
  </si>
  <si>
    <t>PNSA</t>
  </si>
  <si>
    <t>Zufluss</t>
  </si>
  <si>
    <t>pH-Wert</t>
  </si>
  <si>
    <t>min.</t>
  </si>
  <si>
    <t>max.</t>
  </si>
  <si>
    <t>BSB5</t>
  </si>
  <si>
    <t>mg/l</t>
  </si>
  <si>
    <t>ATH</t>
  </si>
  <si>
    <t>CSB</t>
  </si>
  <si>
    <t>TOC</t>
  </si>
  <si>
    <t>KMnO4</t>
  </si>
  <si>
    <t>P-gesamt</t>
  </si>
  <si>
    <t>N-gesamt</t>
  </si>
  <si>
    <t>NH4-N</t>
  </si>
  <si>
    <t>Abfluss</t>
  </si>
  <si>
    <t>DOC</t>
  </si>
  <si>
    <t>P-ortho</t>
  </si>
  <si>
    <t>NO3-N</t>
  </si>
  <si>
    <t>NO2-N</t>
  </si>
  <si>
    <t>GUS</t>
  </si>
  <si>
    <t>Meth-Blau</t>
  </si>
  <si>
    <t>A&lt;5d</t>
  </si>
  <si>
    <t>A&gt;5d</t>
  </si>
  <si>
    <t>Snellen</t>
  </si>
  <si>
    <t>cm</t>
  </si>
  <si>
    <t>m3/d</t>
  </si>
  <si>
    <t>ARA:</t>
  </si>
  <si>
    <t>Anzahl Proben</t>
  </si>
  <si>
    <t>Probenahmeart</t>
  </si>
  <si>
    <t xml:space="preserve">1 = </t>
  </si>
  <si>
    <t>Sammelprobe</t>
  </si>
  <si>
    <t xml:space="preserve">2 = </t>
  </si>
  <si>
    <t>Strichprobe</t>
  </si>
  <si>
    <t>PNSZ</t>
  </si>
  <si>
    <t>Probenahmestelle Zufluss</t>
  </si>
  <si>
    <t>Rohabwasser roh, homogenisiert</t>
  </si>
  <si>
    <t xml:space="preserve">3 = </t>
  </si>
  <si>
    <t>abgesetztes Rohabwasser</t>
  </si>
  <si>
    <t>Probenahmestelle Abfluss</t>
  </si>
  <si>
    <t>Abfluss Nachklärbecken</t>
  </si>
  <si>
    <t>Abfluss Filtration</t>
  </si>
  <si>
    <t>Erklärungen (1)</t>
  </si>
  <si>
    <t>Erklärungen (2)</t>
  </si>
  <si>
    <t>Messpunkt Abwassermenge</t>
  </si>
  <si>
    <t>1 =</t>
  </si>
  <si>
    <t>Zufluss Biologie</t>
  </si>
  <si>
    <t>Biologie</t>
  </si>
  <si>
    <t>Abfluss ARA</t>
  </si>
  <si>
    <t>Messpunkt Temperatur</t>
  </si>
  <si>
    <t>Allylthioharnstoff</t>
  </si>
  <si>
    <t>mit ATH-Zugabe</t>
  </si>
  <si>
    <t>ohne ATH-Zugabe</t>
  </si>
  <si>
    <t>g/l oder g/kg = Trockensubstanz in % * 10</t>
  </si>
  <si>
    <t>Betriebsjahr</t>
  </si>
  <si>
    <t>ARA-Betriebsdaten</t>
  </si>
  <si>
    <t>ChemischeDaten</t>
  </si>
  <si>
    <t>KSAbnehmerverzeichnis</t>
  </si>
  <si>
    <t>KSEntsorgung</t>
  </si>
  <si>
    <r>
      <t>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 xml:space="preserve"> rsp. t</t>
    </r>
  </si>
  <si>
    <t>Secchi</t>
  </si>
  <si>
    <t>Speichern Sie die Datei nach Eingabe der Daten auf der Festplatte Ihres Computers ab.</t>
  </si>
  <si>
    <t>Erklärungen</t>
  </si>
  <si>
    <t>Bemerkungen zu einzelnen Parametern</t>
  </si>
  <si>
    <t>Bemerkungen allgemein</t>
  </si>
  <si>
    <t>In den Kontrollkästchen die zutreffenden Optionen anklicken.</t>
  </si>
  <si>
    <t>In die gelben Eingabefelder die Jahreswerte eingeben:</t>
  </si>
  <si>
    <t>Die grünen Felder (TS-Frachten) werden berechnet, wenn die</t>
  </si>
  <si>
    <t>wenn die benötigten Mengen und Konzentrationen eingegeben wurden.</t>
  </si>
  <si>
    <t>Die Konsistenz, Menge und die Trockensubstanz sollte jeweils miteinander übereinstimmen (z.B. entwässert, 100 m3, 290 g/kg).</t>
  </si>
  <si>
    <t xml:space="preserve">  - Jahressummen für Mengen (m3 rsp. t), </t>
  </si>
  <si>
    <t xml:space="preserve">  - Jahresmittelwerte für Konzentrationen (g/l rsp. g/kg).</t>
  </si>
  <si>
    <t>Oder kopieren Sie die Datei auf eine Diskette oder CD und senden Sie diese per Post an:</t>
  </si>
  <si>
    <t>Ferrera (Ausserferrera)</t>
  </si>
  <si>
    <t>Klärschlamm-Annahme von fremden ARA</t>
  </si>
  <si>
    <t>Keine Klärschlamm-Entsorgung</t>
  </si>
  <si>
    <t>Wurde der Klärschlamm nicht der Verbrennung zugeführt, ist dies im Formular unter "weitere Entsorgungswege" mit genauer Bezeichnung anzugeben.</t>
  </si>
  <si>
    <t>Beim Berechnen von TS-Frachten ist darauf zu achten, dass Schlammmenge und TS-Gehalt derselben Konsistenz multipliziert werden.</t>
  </si>
  <si>
    <t>nicht aufgeführt</t>
  </si>
  <si>
    <t>Kat.</t>
  </si>
  <si>
    <t>Sprache</t>
  </si>
  <si>
    <t>Nr.</t>
  </si>
  <si>
    <t>Davos (Wiesen)</t>
  </si>
  <si>
    <t>Scuol (S-charl)</t>
  </si>
  <si>
    <t>Schiers (Schuders)</t>
  </si>
  <si>
    <t>Avers (Loretsch Hus)</t>
  </si>
  <si>
    <t>Landquart</t>
  </si>
  <si>
    <t>Landquart (Papierfabrik)</t>
  </si>
  <si>
    <t>Sandanfall</t>
  </si>
  <si>
    <t>Sandmenge Anfall total</t>
  </si>
  <si>
    <t>davon Sandmenge entsorgt</t>
  </si>
  <si>
    <t>Sandwaschanlage</t>
  </si>
  <si>
    <t>Spülung</t>
  </si>
  <si>
    <t>keine</t>
  </si>
  <si>
    <t>m3 (Kubikmeter)</t>
  </si>
  <si>
    <t>Sand-Annahme von fremden ARA</t>
  </si>
  <si>
    <t>Entsorgung wohin</t>
  </si>
  <si>
    <t>Entsorgung PLZ Ort</t>
  </si>
  <si>
    <t>nein</t>
  </si>
  <si>
    <t>ja, von welcher ARA?</t>
  </si>
  <si>
    <t>Sandklassierer</t>
  </si>
  <si>
    <t>Zur Verbrennung in Kehrichtverbrennungsanlage (KVA)</t>
  </si>
  <si>
    <t>ARA angeben</t>
  </si>
  <si>
    <t>Abgabe an eine andere ARA (zur Behandlung und Entsorgung)</t>
  </si>
  <si>
    <t>Art und Ort der Entsorgung</t>
  </si>
  <si>
    <t>Transporteur (Firma, Ort)</t>
  </si>
  <si>
    <t>Auswahl für Einheit (Sandmenge):</t>
  </si>
  <si>
    <t>Klärschlammanfall</t>
  </si>
  <si>
    <t>x4_ARA_Name</t>
  </si>
  <si>
    <t>x4_ARANr</t>
  </si>
  <si>
    <t>x4_Jahr</t>
  </si>
  <si>
    <t>x4_Qtot</t>
  </si>
  <si>
    <t>x4_Qbio</t>
  </si>
  <si>
    <t>x4_FrS_Q</t>
  </si>
  <si>
    <t>x4_FrS_TS</t>
  </si>
  <si>
    <t>x4_StabS_Q</t>
  </si>
  <si>
    <t>x4_StromProdGM</t>
  </si>
  <si>
    <t>x4_StromAbEW</t>
  </si>
  <si>
    <t>x4_StromVerkauf</t>
  </si>
  <si>
    <t>x4_StromBB</t>
  </si>
  <si>
    <t>x4_StromPW</t>
  </si>
  <si>
    <t>x4_StromTot</t>
  </si>
  <si>
    <t>x4_GasProdTot</t>
  </si>
  <si>
    <t>x4_GasHeizung</t>
  </si>
  <si>
    <t>x4_GasGM</t>
  </si>
  <si>
    <t>x4_GasFackel</t>
  </si>
  <si>
    <t>x4_GasVerkauf</t>
  </si>
  <si>
    <t>x4_GasVerbrauchTot</t>
  </si>
  <si>
    <t>x4_ErdgasTot</t>
  </si>
  <si>
    <t>x4_SandAnfall</t>
  </si>
  <si>
    <t>x4_SandBehandlung</t>
  </si>
  <si>
    <t>x4_SandFremdAnnahme</t>
  </si>
  <si>
    <t>x4_SandFremdWoher</t>
  </si>
  <si>
    <t>x4_SandEntsorgung</t>
  </si>
  <si>
    <t>x4_SandTransport</t>
  </si>
  <si>
    <t>x4_AbgBCUew_Q</t>
  </si>
  <si>
    <t>x4_AbgBCUew_TS</t>
  </si>
  <si>
    <t>x4_AbgKVAew_Q</t>
  </si>
  <si>
    <t>x4_AbgKVAew_TS</t>
  </si>
  <si>
    <t>x4_AbgARA_Q</t>
  </si>
  <si>
    <t>x4_AbgARA_TS</t>
  </si>
  <si>
    <t>x4_AbgSonst_Q</t>
  </si>
  <si>
    <t>x4_AbgSonst_TS</t>
  </si>
  <si>
    <t>Zur Trocknung (TRAC ARA Chur oder ARA Trun)</t>
  </si>
  <si>
    <t xml:space="preserve">ARA Nr. </t>
  </si>
  <si>
    <t>z. Hd. Michael Holzer</t>
  </si>
  <si>
    <t>michael.holzer@anu.gr.ch</t>
  </si>
  <si>
    <t>Amt für Natur und Umwelt ANU</t>
  </si>
  <si>
    <t>Arosa (Calfreisen)</t>
  </si>
  <si>
    <t>Arosa (Langwies)</t>
  </si>
  <si>
    <t>Arosa (Lüen)</t>
  </si>
  <si>
    <t>Arosa (Molinis)</t>
  </si>
  <si>
    <t>Lumnezia (Cons)</t>
  </si>
  <si>
    <t>Lumnezia (Cumbel)</t>
  </si>
  <si>
    <t>Lumnezia (Degen)</t>
  </si>
  <si>
    <t>Lumnezia (Lumbrein)</t>
  </si>
  <si>
    <t>Lumnezia (Nussaus)</t>
  </si>
  <si>
    <t>Lumnezia (Suraua)</t>
  </si>
  <si>
    <t>Lumnezia (Surin)</t>
  </si>
  <si>
    <t>Lumnezia (Vella)</t>
  </si>
  <si>
    <t>Lumnezia (Vrin)</t>
  </si>
  <si>
    <t>Safiental (Camanaboden)</t>
  </si>
  <si>
    <t>Safiental (Safien-Platz)</t>
  </si>
  <si>
    <t>Safiental (Tenna Innerberg)</t>
  </si>
  <si>
    <t>Safiental (Tenna)</t>
  </si>
  <si>
    <t>Safiental (Valendas)</t>
  </si>
  <si>
    <t>Safiental (Versam)</t>
  </si>
  <si>
    <t>Valsot (Martina)</t>
  </si>
  <si>
    <t>Valsot (Ramosch)</t>
  </si>
  <si>
    <t>Valsot (San Niclà)</t>
  </si>
  <si>
    <t>Valsot (Seraplana)</t>
  </si>
  <si>
    <t>x4_StabS_TS</t>
  </si>
  <si>
    <t>x4_HeizoelTotal</t>
  </si>
  <si>
    <t>x4_Sfremd_Q</t>
  </si>
  <si>
    <t>x4_Sfremd_TS</t>
  </si>
  <si>
    <t>Ilanz/Glion (Duvin)</t>
  </si>
  <si>
    <t>Ilanz/Glion (Pigniu)</t>
  </si>
  <si>
    <t>Ilanz/Glion (Pitasch)</t>
  </si>
  <si>
    <t>Ilanz/Glion (Riein)</t>
  </si>
  <si>
    <t>Ilanz/Glion (Rueun)</t>
  </si>
  <si>
    <t>Sils i.E./Segl (Plaun da Lej)</t>
  </si>
  <si>
    <t>Avers (Vorderbergalga)</t>
  </si>
  <si>
    <t>Albula/Alvra (Alvaneu)</t>
  </si>
  <si>
    <t>Albula/Alvra (Surava)</t>
  </si>
  <si>
    <t>Albula/Alvra (Tiefencastel)</t>
  </si>
  <si>
    <t>Bregaglia (Isola)</t>
  </si>
  <si>
    <t>Calanca (Arvigo)</t>
  </si>
  <si>
    <t>Ferrera (Innerferrera)</t>
  </si>
  <si>
    <t>Scuol (Ardez)</t>
  </si>
  <si>
    <t>Scuol (Bos-cha)</t>
  </si>
  <si>
    <t>Scuol (Ftan)</t>
  </si>
  <si>
    <t>Scuol (Guarda)</t>
  </si>
  <si>
    <t>Scuol (Sur En)</t>
  </si>
  <si>
    <t>Vals (St. Martin)</t>
  </si>
  <si>
    <t>Zernez (Lavin)</t>
  </si>
  <si>
    <t>Zernez (Susch)</t>
  </si>
  <si>
    <t>Safiental (Carrera)</t>
  </si>
  <si>
    <t>Obersaxen Mundaun (Flond)</t>
  </si>
  <si>
    <t>Obersaxen Mundaun (Valata)</t>
  </si>
  <si>
    <t>Surses (Bivio)</t>
  </si>
  <si>
    <t>Surses (Cunter)</t>
  </si>
  <si>
    <t>Surses (Marmorera)</t>
  </si>
  <si>
    <t>Surses (Mulegns)</t>
  </si>
  <si>
    <t>Surses (Sur)</t>
  </si>
  <si>
    <t>Avers (Am Bach)</t>
  </si>
  <si>
    <t>Avers (Campsut)</t>
  </si>
  <si>
    <t>Avers (Cröt)</t>
  </si>
  <si>
    <t>Avers (Juf)</t>
  </si>
  <si>
    <t>Avers (Oberpürt)</t>
  </si>
  <si>
    <t>Avers (Underpürt)</t>
  </si>
  <si>
    <t>Brusio (Miralago)</t>
  </si>
  <si>
    <t>Buseno (Aurel)</t>
  </si>
  <si>
    <t>Buseno (Paese)</t>
  </si>
  <si>
    <t>Lumnezia (Peiden)</t>
  </si>
  <si>
    <t>Lumnezia (Silgin)</t>
  </si>
  <si>
    <t>Mesocco (Deira)</t>
  </si>
  <si>
    <t>Safiental (Brün)</t>
  </si>
  <si>
    <t>Safiental (Dutjen)</t>
  </si>
  <si>
    <t>Safiental (Sculms Mittelhof)</t>
  </si>
  <si>
    <t>Safiental (Sculms Vorderhof)</t>
  </si>
  <si>
    <t>Ferrera (Magic Wood, Camping)</t>
  </si>
  <si>
    <t>Safiental (Zalön Dörfli)</t>
  </si>
  <si>
    <t>Bergün Filisur</t>
  </si>
  <si>
    <t>Thusis (Mutten)</t>
  </si>
  <si>
    <t>Tschappina (Usser Glas)</t>
  </si>
  <si>
    <t>Bregaglia</t>
  </si>
  <si>
    <t>Calanca (Braggio Stabbio)</t>
  </si>
  <si>
    <t>Rheinwald (Hinterrhein)</t>
  </si>
  <si>
    <t>Rheinwald (Medels i.Rh.)</t>
  </si>
  <si>
    <t>Rheinwald (Nufenen)</t>
  </si>
  <si>
    <t>Rheinwald (Splügen)</t>
  </si>
  <si>
    <t>Safiental (Turrahus)</t>
  </si>
  <si>
    <t>aktualisiert:</t>
  </si>
  <si>
    <t>Calanca (Bodio)</t>
  </si>
  <si>
    <t>Calanca (Cauco alta)</t>
  </si>
  <si>
    <t>Calanca (Cauco centro)</t>
  </si>
  <si>
    <t>Disentis/Mustér (Pardomat)</t>
  </si>
  <si>
    <t>Calanca (Cauco bassa)</t>
  </si>
  <si>
    <t>Davos (Bedra)</t>
  </si>
  <si>
    <t>Davos (Wiesen Bahnhof)</t>
  </si>
  <si>
    <t>Lumnezia (Sogn Andriu)</t>
  </si>
  <si>
    <t>Sils i.E./Segl (hinteres Fextal)</t>
  </si>
  <si>
    <t>Ringstrasse 10</t>
  </si>
  <si>
    <t>CH-7001 Chur</t>
  </si>
  <si>
    <t>Dieser Klärschlamm ist in der oben angegebenen Menge enthalten.</t>
  </si>
  <si>
    <t>Klosters (Gulfia)</t>
  </si>
  <si>
    <t>Klosters (Serneus)</t>
  </si>
  <si>
    <t>S-chanf (Oberengadin)</t>
  </si>
  <si>
    <t>Zahlenwert Min.</t>
  </si>
  <si>
    <t>Zahlenwert Max.</t>
  </si>
  <si>
    <t>Nr</t>
  </si>
  <si>
    <t>Deutsch</t>
  </si>
  <si>
    <t>Italienisch</t>
  </si>
  <si>
    <t>Ausgabe</t>
  </si>
  <si>
    <t/>
  </si>
  <si>
    <t>bitte hier ARA wählen</t>
  </si>
  <si>
    <t>prego scelga qui l’IDA</t>
  </si>
  <si>
    <t>non elencato</t>
  </si>
  <si>
    <t>ARA Name</t>
  </si>
  <si>
    <t>lingua</t>
  </si>
  <si>
    <t>No.</t>
  </si>
  <si>
    <t>Gestione</t>
  </si>
  <si>
    <t>Osservazioni</t>
  </si>
  <si>
    <t>Nome IDA</t>
  </si>
  <si>
    <t>Numero IDA</t>
  </si>
  <si>
    <t>Portata delle acque di rifiuto</t>
  </si>
  <si>
    <t>Quantità totale acque di rifiuto</t>
  </si>
  <si>
    <t>Quantità acque di rifiuto trattate biologicamente</t>
  </si>
  <si>
    <t>Quantità dei fanghi di depurazione (Produzione nell'IDA)</t>
  </si>
  <si>
    <t>Quantità totale fanghi freschi</t>
  </si>
  <si>
    <t>Sostanza secca dei fanghi freschi (1 cifra dopo la virgola)</t>
  </si>
  <si>
    <t>Quantità totale fanghi stabilizzati (liquidi)</t>
  </si>
  <si>
    <t>Sostanza secca fanghi stabilizzati (1 cifra dopo la virgola)</t>
  </si>
  <si>
    <t>Energia</t>
  </si>
  <si>
    <t>Produzione di energia con motore a gas</t>
  </si>
  <si>
    <t>Ritiro di corrente da azienda elettrica</t>
  </si>
  <si>
    <t>Vendita corrente a</t>
  </si>
  <si>
    <t xml:space="preserve">                         Quantità</t>
  </si>
  <si>
    <t>Consumo di corrente per biologia</t>
  </si>
  <si>
    <t>Consumo di corrente per le pompe esistenti nell'IDA</t>
  </si>
  <si>
    <t>Consumo totale di corrente</t>
  </si>
  <si>
    <t>Produzione totale di gas dalla digestione fanghi</t>
  </si>
  <si>
    <t>Consumo di gas per riscaldamento</t>
  </si>
  <si>
    <t>Consumo di gas per motore a gas</t>
  </si>
  <si>
    <t>Torcia per combustione gas</t>
  </si>
  <si>
    <t>Vendita gas a</t>
  </si>
  <si>
    <t xml:space="preserve">                  Quantità</t>
  </si>
  <si>
    <t>Utilizzazione totale di gas (produzione gas meno combustione)</t>
  </si>
  <si>
    <t>Consumo totale di metano</t>
  </si>
  <si>
    <t>Consumo totale di olia da riscaldamento</t>
  </si>
  <si>
    <t>cat.</t>
  </si>
  <si>
    <t>Nome</t>
  </si>
  <si>
    <t>Datenüberprüfung Gültigkeitsbereich</t>
  </si>
  <si>
    <t>t SS/a</t>
  </si>
  <si>
    <t>Klärschlammanfall und Entsorgung</t>
  </si>
  <si>
    <t xml:space="preserve">No. IDA </t>
  </si>
  <si>
    <t>Produzione fanghi</t>
  </si>
  <si>
    <t>Vie di smaltimento</t>
  </si>
  <si>
    <t>Consistenza</t>
  </si>
  <si>
    <t>Quantità</t>
  </si>
  <si>
    <t>Sostanza secca SS</t>
  </si>
  <si>
    <t>Trockensubstanz TS</t>
  </si>
  <si>
    <t>Essiccamento (TRAC IDA Coira o IDA ……………………...)</t>
  </si>
  <si>
    <t>Totale</t>
  </si>
  <si>
    <t>t SS</t>
  </si>
  <si>
    <t xml:space="preserve">     flüssig</t>
  </si>
  <si>
    <t xml:space="preserve">     entwässert</t>
  </si>
  <si>
    <t xml:space="preserve">     getrocknet</t>
  </si>
  <si>
    <t xml:space="preserve">     essiccato</t>
  </si>
  <si>
    <t xml:space="preserve">     disidratato</t>
  </si>
  <si>
    <t xml:space="preserve">     liquido</t>
  </si>
  <si>
    <t xml:space="preserve">    TRAC Chur/Holcim</t>
  </si>
  <si>
    <t xml:space="preserve">    TRA Cadi/Holcim</t>
  </si>
  <si>
    <t>Incenerimento presso l'inceneritore rifiuti (IIR)</t>
  </si>
  <si>
    <t>Ort/TRA angeben</t>
  </si>
  <si>
    <t>Indicare il luogo/TRA</t>
  </si>
  <si>
    <t>Ort/KVA angeben</t>
  </si>
  <si>
    <t>Indicare il luogo/IIR</t>
  </si>
  <si>
    <t>Consegna a un altro IDA (per trattamento e smaltimento)</t>
  </si>
  <si>
    <t>Indicare l'IDA</t>
  </si>
  <si>
    <t>Altre vie di smaltimento</t>
  </si>
  <si>
    <t>Genere e luogo di smaltimento</t>
  </si>
  <si>
    <t>Totale Klärschlammmenge</t>
  </si>
  <si>
    <t>in t TS:</t>
  </si>
  <si>
    <t>Quantità totale di fanghi</t>
  </si>
  <si>
    <t>in t SS:</t>
  </si>
  <si>
    <t>segnare ciò che fa al caso</t>
  </si>
  <si>
    <t>Nessun smaltimento fanghi</t>
  </si>
  <si>
    <t>wurde der ARA kein Klärschlamm entnommen und entsorgt.</t>
  </si>
  <si>
    <t>dall'IDA non venne asportata e smaltita nessuna quantità di fanghi.</t>
  </si>
  <si>
    <t>Ritiro fanghi da altri IDA</t>
  </si>
  <si>
    <t>wurden</t>
  </si>
  <si>
    <t>sono stati ritirati</t>
  </si>
  <si>
    <t xml:space="preserve"> m3 (flüssig) rsp. t (entwässert) Klärschlamm bzw. </t>
  </si>
  <si>
    <t xml:space="preserve"> t SS di fango</t>
  </si>
  <si>
    <t xml:space="preserve"> m3 risp.</t>
  </si>
  <si>
    <t>zur Behandlung und Entsorgung angenommen (KS-Annahme).</t>
  </si>
  <si>
    <t>provenienti dall'IDA</t>
  </si>
  <si>
    <t>per il loro trattamento e smaltimento (fanghi ritirati).</t>
  </si>
  <si>
    <t>Questo fango è contenuto nel quantitativo indicato qui di seguito.</t>
  </si>
  <si>
    <t>Sabbia</t>
  </si>
  <si>
    <t xml:space="preserve"> wurde kein Sand entsorgt</t>
  </si>
  <si>
    <t xml:space="preserve"> non venne smaltita sabbia</t>
  </si>
  <si>
    <t>Quantità totale sabbia</t>
  </si>
  <si>
    <t>Quantità totale sabbia smaltita</t>
  </si>
  <si>
    <t>Luogo di smaltimento</t>
  </si>
  <si>
    <t>Indirizzo di smaltimento</t>
  </si>
  <si>
    <t>Ditta trasportatrice</t>
  </si>
  <si>
    <t>Lavaggio sabbia</t>
  </si>
  <si>
    <t>Risciacquo</t>
  </si>
  <si>
    <t>Trattamento sabbia</t>
  </si>
  <si>
    <t>Nessuna</t>
  </si>
  <si>
    <t>m3 (Metri cubi)</t>
  </si>
  <si>
    <t>Ricezione sabbia da altri IDA</t>
  </si>
  <si>
    <t>Sì, da quale IDA?</t>
  </si>
  <si>
    <t>no</t>
  </si>
  <si>
    <t>Ritiro sabbia estranea totale [t]</t>
  </si>
  <si>
    <t>Fremdsand-Annahme gesamt [t]</t>
  </si>
  <si>
    <t>Menge [t]</t>
  </si>
  <si>
    <t>Quantità [t]</t>
  </si>
  <si>
    <t>t (Tonnellate)</t>
  </si>
  <si>
    <t>t (Tonnen)</t>
  </si>
  <si>
    <t>Spiegazioni</t>
  </si>
  <si>
    <t>In der Tabelle ist die im Berichtsjahr bei der ARA angefallene und entsorgte Klärschlamm-Menge anzugeben.</t>
  </si>
  <si>
    <t>Sofern Klärschlamm auf eine Zwischendeponie (bei oder ausserhalb der ARA) deponiert wurde, ist dieser Schlamm bei der später erfolgenden Entsorgungsart in der Tabelle zu berücksichtigen</t>
  </si>
  <si>
    <t>Bei der Trockensubstanz ist, sofern diese auf der Kläranlage nicht mehrmals selber bestimmt wird, der vom ANU mit den Klärschlammanalysen zuletzt mitgeteilte Wert zu verwenden.</t>
  </si>
  <si>
    <t>Indicare nella tabella la quantità di fanghi prodotti e smaltiti nell’IDA durante il 2021.</t>
  </si>
  <si>
    <t>Nella tabella bisogna considerare il sistema di smaltimento adottato successivamente per quella quantità di fanghi sistemati nel deposito intermedio (all’interno o all’esterno dell’IDA).</t>
  </si>
  <si>
    <t>Se i fanghi non fossero stati inceneriti, bisogna indicare il luogo esatto sotto la rubrica "Altre vie di smaltimento".</t>
  </si>
  <si>
    <t>Per quanto concerne la sostanza secca bisogna applicare il valore indicato dall’UNA nelle analisi dei fanghi, se essa non viene più volte analizzata direttamente nel laboratorio dell’IDA.</t>
  </si>
  <si>
    <t>La consistenza, la quantità e la sostanza secca devono corrispondere fra di loro (p.es. disidratato, 100 m3, 290 g/kg).</t>
  </si>
  <si>
    <t>Nel calcolare i carichi di SS bisogna osservare che vengano moltiplicati fra di loro la quantità fanghi e il contenuto di SS della stessa consistenza.</t>
  </si>
  <si>
    <t>g/l risp. g/kg = sostanza secca in % * 10</t>
  </si>
  <si>
    <t>Calcolo</t>
  </si>
  <si>
    <t>Formula:</t>
  </si>
  <si>
    <t>Esempio:</t>
  </si>
  <si>
    <t>Beispiel:</t>
  </si>
  <si>
    <t>Formel:</t>
  </si>
  <si>
    <t>Sandbehandlung in eigener ARA:</t>
  </si>
  <si>
    <t>Possibilità di trattamento sabbia nell'IDA:</t>
  </si>
  <si>
    <t>Chemisch physikalische Daten</t>
  </si>
  <si>
    <t>Dati chimico-fisicali</t>
  </si>
  <si>
    <t>IDA:</t>
  </si>
  <si>
    <t>Numero:</t>
  </si>
  <si>
    <t>Mese</t>
  </si>
  <si>
    <t>Gennai</t>
  </si>
  <si>
    <t>Febbraio</t>
  </si>
  <si>
    <t>Marz</t>
  </si>
  <si>
    <t>Aprile</t>
  </si>
  <si>
    <t>Maggio</t>
  </si>
  <si>
    <t>Giogno</t>
  </si>
  <si>
    <t>Luglio</t>
  </si>
  <si>
    <t>Agosto</t>
  </si>
  <si>
    <t>Settembre</t>
  </si>
  <si>
    <t>Ottobre</t>
  </si>
  <si>
    <t>Novembre</t>
  </si>
  <si>
    <t>Dicembre</t>
  </si>
  <si>
    <t>Generale</t>
  </si>
  <si>
    <t>Portata acque</t>
  </si>
  <si>
    <t>Tempertura acque</t>
  </si>
  <si>
    <t>Campionamento</t>
  </si>
  <si>
    <t>Osservazioni (1)</t>
  </si>
  <si>
    <t>Numero campionamenti mensili</t>
  </si>
  <si>
    <t>Tipo campionamenti</t>
  </si>
  <si>
    <t>Prova collettiva</t>
  </si>
  <si>
    <t>Provo singola</t>
  </si>
  <si>
    <t>Campionamento entrata</t>
  </si>
  <si>
    <t>Scarico decantazione primaria</t>
  </si>
  <si>
    <t>Portata d'entrata non decantata</t>
  </si>
  <si>
    <t>Acqua decantata entrata</t>
  </si>
  <si>
    <t>Campionamento uscita</t>
  </si>
  <si>
    <t>Scarico decantazione finale</t>
  </si>
  <si>
    <t>Scarico filtrazione</t>
  </si>
  <si>
    <t>Abflus Vorklärung</t>
  </si>
  <si>
    <t>Entrata</t>
  </si>
  <si>
    <t>pH</t>
  </si>
  <si>
    <t>BOD5</t>
  </si>
  <si>
    <t>COD</t>
  </si>
  <si>
    <t>P-totale</t>
  </si>
  <si>
    <t>N-totale</t>
  </si>
  <si>
    <t>Uscita</t>
  </si>
  <si>
    <t>STI</t>
  </si>
  <si>
    <t>Blu di met.</t>
  </si>
  <si>
    <t>Osservazioni (2)</t>
  </si>
  <si>
    <t>Luogo misura quantità</t>
  </si>
  <si>
    <t>Entrata IDA</t>
  </si>
  <si>
    <t>Biologia</t>
  </si>
  <si>
    <t>Uscita IDA</t>
  </si>
  <si>
    <t>Luogo misura Temperatur</t>
  </si>
  <si>
    <t>Alliltiourea</t>
  </si>
  <si>
    <t>con aggiunta di ATH</t>
  </si>
  <si>
    <t>senza aggiunta di ATH</t>
  </si>
  <si>
    <t>Es können nur Daten in die gelb unterlegten Zellen eingegeben werden, die restlichen Zellen sind schreibgeschützt.</t>
  </si>
  <si>
    <t>Bitte zuerst im Tabellenblatt "Betriebsdaten" die ARA wählen, der ARA-Name und die Stammnummer werden in die anderer Blätter übertragen.</t>
  </si>
  <si>
    <t>In generale</t>
  </si>
  <si>
    <t>Si possono registrare i dati solo nelle righe contrassegnate in giallo, nelle altre non si può scrivere.</t>
  </si>
  <si>
    <t>Con il tabulatore si può giungere nella prossima casella.</t>
  </si>
  <si>
    <t>Prego prima scegliere l’IDA nel foglio "Dati gestionali", il nome e il numero base dell’IDA viene ripreso automaticamente sugli altri fogli.</t>
  </si>
  <si>
    <t>Dati gestionali</t>
  </si>
  <si>
    <t>Scegliere l’IDA nell’apposita casella</t>
  </si>
  <si>
    <t>Nelle caselle contrassegnate in giallo introdurre le somme annue dei dati</t>
  </si>
  <si>
    <t>Smaltimento dei fanghi</t>
  </si>
  <si>
    <t>Nelle caselle contrassegnate in giallo introdurre le somme annue per la quantità dei fanghi risp. per i carichi della SS</t>
  </si>
  <si>
    <t>Cliccare le rispettive opzioni nelle caselle di controllo</t>
  </si>
  <si>
    <t>Elenco consegna fanghi di depurazione</t>
  </si>
  <si>
    <t>Cliccare anche il genere del fango e registrare la quantità consegnata risp. il carico SS secondo i bollettini.</t>
  </si>
  <si>
    <t>Wenn Klärschlamm für Düngungszwecke abgegeben wurde, das entsprechende Kontrollkastchen anklicken, und alle Abnehmer in der untenstehenden Liste aufführen.</t>
  </si>
  <si>
    <t>Cliccare la casella di controllo se i fanghi di depurazione vengono impiegati come fertilizzati, e elencare nella lista sottostante tutti i destinatari.</t>
  </si>
  <si>
    <t>Zusätzlich die Art des Schlammes anklicken und die abgegebene Menge rsp. TS-Fracht gem. Lieferschein angeben.</t>
  </si>
  <si>
    <t>Das Register chemische Daten muss nur dann ausgefüllt werden, wenn die Betriebsdaten nicht per Comupter in einem Betriebsprotokoll erfasst werden.</t>
  </si>
  <si>
    <t>Senden Sie die Datei per E-Mail an Michael.Holzer@anu.gr.ch.</t>
  </si>
  <si>
    <t>Trasmissione dei dati</t>
  </si>
  <si>
    <t>Memorizzare i dati sul vostro computer dopo la registrazione.</t>
  </si>
  <si>
    <t>Ufficio per la natura e l’ambiente</t>
  </si>
  <si>
    <t>M. Holzer</t>
  </si>
  <si>
    <t>CH-7001 Chur/Coira</t>
  </si>
  <si>
    <t>Trasmettere il file per E-Mail a Michael.Holzer@anu.gr.ch.</t>
  </si>
  <si>
    <t>Oppure copiare il file su un dischetto e quindi inviarlo per posta all’indirizzo:</t>
  </si>
  <si>
    <t>Produzione e smaltimento fanghi di depurazione nel</t>
  </si>
  <si>
    <t>Dati sull'IDA, gestione</t>
  </si>
  <si>
    <t>Klärschlamm-Abnehmerverzeichnis</t>
  </si>
  <si>
    <t>Elenco ricettori fanghi di depurazione</t>
  </si>
  <si>
    <t>A: fertilizzante</t>
  </si>
  <si>
    <t>wurde kein Klärschlamm zur Düngung abgegeben.</t>
  </si>
  <si>
    <t>Nel 2021 non vennero consegnati fanghi di depurazione come fertilizzanti.</t>
  </si>
  <si>
    <t>Spiegazioni: W: Prati, A: Campi, Hyg: igienizzato, FS: fango liquido, ES: fango disidratato, GS: fango essiccato, KK: composto di fango</t>
  </si>
  <si>
    <t>Data di consegna</t>
  </si>
  <si>
    <t xml:space="preserve">Nome/Cognome e/o ditta di ricezione
</t>
  </si>
  <si>
    <t>Indirizzo ricettore</t>
  </si>
  <si>
    <t>KS-Menge 1) 
[m3]</t>
  </si>
  <si>
    <t>Quantità
 fanghi 1)
[m3]</t>
  </si>
  <si>
    <t>Luogo, data:</t>
  </si>
  <si>
    <t>Bollo, firma</t>
  </si>
  <si>
    <t>Prego compilare risp. segnare in modo completo</t>
  </si>
  <si>
    <t>1) Rilevare i valori notificati nel bollettino</t>
  </si>
  <si>
    <t>1) Werte von Lieferscheinen übernehmen</t>
  </si>
  <si>
    <t>Trocken-substanz 1)
 [g/kg] / [g/l]</t>
  </si>
  <si>
    <t>Sostanza
secca 1)
 [g/kg] / [g/l]</t>
  </si>
  <si>
    <t>Name/Vorname und/oder Firmenname der Abnehmer</t>
  </si>
  <si>
    <t>Bergün Filisur (Jenisberg)</t>
  </si>
  <si>
    <t>Bregaglia (Caccior)</t>
  </si>
  <si>
    <t>Sils i.E./Segl (Vals)</t>
  </si>
  <si>
    <t>Bever (Spinas)</t>
  </si>
  <si>
    <t>Disentis/Mustér (Madernal)</t>
  </si>
  <si>
    <t>Sumvitg (Val)</t>
  </si>
  <si>
    <t>Bergün Filisur (Preda)</t>
  </si>
  <si>
    <t>Bergün Filisur (Stuls)</t>
  </si>
  <si>
    <t>Safiental (Inner Camana)</t>
  </si>
  <si>
    <t>Surses (Alp Flix, Salategnas)</t>
  </si>
  <si>
    <t>Surses (Alp Flix, Tigias)</t>
  </si>
  <si>
    <t>Vals (Mont)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</si>
</sst>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248"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4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3" fillId="0" borderId="0" xfId="0" applyFont="1" applyAlignment="1">
      <alignment vertical="center"/>
    </xf>
    <xf numFmtId="0" fontId="0" fillId="4" borderId="5" xfId="0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2" borderId="4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9" xfId="0" applyFont="1" applyBorder="1" applyAlignment="1">
      <alignment vertical="center"/>
    </xf>
    <xf numFmtId="4" fontId="1" fillId="2" borderId="5" xfId="0" applyNumberFormat="1" applyFont="1" applyFill="1" applyBorder="1" applyAlignment="1" applyProtection="1">
      <alignment vertical="center"/>
      <protection locked="0"/>
    </xf>
    <xf numFmtId="4" fontId="1" fillId="2" borderId="6" xfId="0" applyNumberFormat="1" applyFont="1" applyFill="1" applyBorder="1" applyAlignment="1" applyProtection="1">
      <alignment vertical="center"/>
      <protection locked="0"/>
    </xf>
    <xf numFmtId="0" fontId="9" fillId="0" borderId="8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justify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/>
    </xf>
    <xf numFmtId="4" fontId="1" fillId="2" borderId="5" xfId="0" applyNumberFormat="1" applyFont="1" applyFill="1" applyBorder="1" applyAlignment="1" applyProtection="1">
      <alignment horizontal="left" vertical="center"/>
      <protection locked="0"/>
    </xf>
    <xf numFmtId="0" fontId="0" fillId="0" borderId="14" xfId="0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0" fillId="3" borderId="5" xfId="0" applyNumberFormat="1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0" fontId="0" fillId="5" borderId="5" xfId="0" applyFill="1" applyBorder="1" applyProtection="1">
      <protection locked="0"/>
    </xf>
    <xf numFmtId="0" fontId="4" fillId="0" borderId="0" xfId="0" applyFont="1" applyFill="1" applyBorder="1" applyAlignment="1" applyProtection="1">
      <alignment vertical="top"/>
    </xf>
    <xf numFmtId="0" fontId="0" fillId="0" borderId="0" xfId="0" applyFill="1" applyBorder="1" applyAlignment="1">
      <alignment vertical="top"/>
    </xf>
    <xf numFmtId="0" fontId="8" fillId="0" borderId="0" xfId="0" applyFont="1" applyAlignment="1">
      <alignment vertical="top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4" xfId="0" applyFill="1" applyBorder="1"/>
    <xf numFmtId="0" fontId="0" fillId="2" borderId="6" xfId="0" applyFill="1" applyBorder="1"/>
    <xf numFmtId="0" fontId="11" fillId="0" borderId="3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7" fillId="0" borderId="24" xfId="0" applyFont="1" applyBorder="1"/>
    <xf numFmtId="0" fontId="7" fillId="0" borderId="13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7" fillId="0" borderId="1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22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/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right" vertical="center"/>
    </xf>
    <xf numFmtId="0" fontId="7" fillId="0" borderId="0" xfId="0" applyFont="1"/>
    <xf numFmtId="0" fontId="4" fillId="2" borderId="5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0" fontId="0" fillId="2" borderId="24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4" fontId="1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vertical="center" wrapText="1"/>
    </xf>
    <xf numFmtId="0" fontId="0" fillId="2" borderId="24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 wrapText="1"/>
    </xf>
    <xf numFmtId="4" fontId="1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right" vertical="center"/>
    </xf>
    <xf numFmtId="0" fontId="0" fillId="0" borderId="0" xfId="0" applyFill="1" applyAlignment="1" applyProtection="1">
      <alignment vertical="center" wrapText="1"/>
    </xf>
    <xf numFmtId="3" fontId="0" fillId="2" borderId="5" xfId="0" applyNumberFormat="1" applyFill="1" applyBorder="1" applyAlignment="1" applyProtection="1">
      <alignment vertical="top"/>
      <protection locked="0"/>
    </xf>
    <xf numFmtId="164" fontId="0" fillId="2" borderId="5" xfId="0" applyNumberFormat="1" applyFill="1" applyBorder="1" applyAlignment="1" applyProtection="1">
      <alignment vertical="top"/>
      <protection locked="0"/>
    </xf>
    <xf numFmtId="3" fontId="0" fillId="3" borderId="5" xfId="0" applyNumberFormat="1" applyFill="1" applyBorder="1" applyAlignment="1" applyProtection="1">
      <alignment vertical="center"/>
      <protection locked="0"/>
    </xf>
    <xf numFmtId="164" fontId="0" fillId="3" borderId="5" xfId="0" applyNumberForma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top"/>
    </xf>
    <xf numFmtId="0" fontId="7" fillId="0" borderId="0" xfId="0" applyFont="1" applyAlignment="1">
      <alignment vertical="top"/>
    </xf>
    <xf numFmtId="0" fontId="7" fillId="0" borderId="0" xfId="0" applyFont="1" applyFill="1" applyBorder="1"/>
    <xf numFmtId="0" fontId="0" fillId="2" borderId="29" xfId="0" applyFill="1" applyBorder="1" applyProtection="1">
      <protection locked="0"/>
    </xf>
    <xf numFmtId="0" fontId="7" fillId="2" borderId="18" xfId="0" applyFont="1" applyFill="1" applyBorder="1" applyAlignment="1" applyProtection="1">
      <alignment horizontal="center"/>
      <protection locked="0"/>
    </xf>
    <xf numFmtId="0" fontId="0" fillId="2" borderId="30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2" xfId="0" applyFill="1" applyBorder="1" applyAlignment="1" applyProtection="1">
      <alignment vertical="top"/>
      <protection locked="0"/>
    </xf>
    <xf numFmtId="0" fontId="0" fillId="4" borderId="5" xfId="0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4" fontId="1" fillId="6" borderId="5" xfId="0" applyNumberFormat="1" applyFont="1" applyFill="1" applyBorder="1" applyAlignment="1" applyProtection="1">
      <alignment vertical="center"/>
      <protection locked="0"/>
    </xf>
    <xf numFmtId="0" fontId="0" fillId="0" borderId="29" xfId="0" applyFill="1" applyBorder="1" applyAlignment="1" applyProtection="1">
      <alignment vertical="top"/>
    </xf>
    <xf numFmtId="0" fontId="0" fillId="0" borderId="31" xfId="0" applyFill="1" applyBorder="1" applyAlignment="1" applyProtection="1">
      <alignment vertical="center"/>
    </xf>
    <xf numFmtId="0" fontId="0" fillId="2" borderId="32" xfId="0" applyFill="1" applyBorder="1" applyProtection="1">
      <protection locked="0"/>
    </xf>
    <xf numFmtId="0" fontId="0" fillId="2" borderId="33" xfId="0" applyFill="1" applyBorder="1" applyProtection="1">
      <protection locked="0"/>
    </xf>
    <xf numFmtId="0" fontId="0" fillId="2" borderId="34" xfId="0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0" fillId="2" borderId="39" xfId="0" applyFill="1" applyBorder="1" applyProtection="1">
      <protection locked="0"/>
    </xf>
    <xf numFmtId="0" fontId="13" fillId="0" borderId="0" xfId="0" applyFont="1"/>
    <xf numFmtId="0" fontId="7" fillId="0" borderId="0" xfId="0" applyNumberFormat="1" applyFont="1"/>
    <xf numFmtId="0" fontId="0" fillId="2" borderId="17" xfId="0" applyFill="1" applyBorder="1" applyAlignment="1" applyProtection="1">
      <alignment vertical="top"/>
      <protection locked="0"/>
    </xf>
    <xf numFmtId="0" fontId="0" fillId="2" borderId="29" xfId="0" applyFill="1" applyBorder="1" applyAlignment="1" applyProtection="1">
      <alignment vertical="top"/>
      <protection locked="0"/>
    </xf>
    <xf numFmtId="0" fontId="0" fillId="2" borderId="15" xfId="0" applyFill="1" applyBorder="1" applyAlignment="1" applyProtection="1">
      <alignment vertical="top"/>
      <protection locked="0"/>
    </xf>
    <xf numFmtId="3" fontId="13" fillId="2" borderId="5" xfId="0" applyNumberFormat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5" xfId="0" applyFont="1" applyBorder="1" applyAlignment="1">
      <alignment horizontal="right" vertical="center"/>
    </xf>
    <xf numFmtId="0" fontId="13" fillId="7" borderId="1" xfId="0" applyFont="1" applyFill="1" applyBorder="1" applyAlignment="1" applyProtection="1">
      <alignment vertical="center"/>
      <protection locked="0"/>
    </xf>
    <xf numFmtId="0" fontId="0" fillId="7" borderId="5" xfId="0" applyFill="1" applyBorder="1" applyAlignment="1" applyProtection="1">
      <alignment vertical="center"/>
      <protection locked="0"/>
    </xf>
    <xf numFmtId="0" fontId="0" fillId="7" borderId="24" xfId="0" applyFill="1" applyBorder="1" applyAlignment="1" applyProtection="1">
      <alignment vertical="center"/>
      <protection locked="0"/>
    </xf>
    <xf numFmtId="0" fontId="13" fillId="7" borderId="4" xfId="0" applyFont="1" applyFill="1" applyBorder="1" applyAlignment="1" applyProtection="1">
      <alignment vertical="center"/>
      <protection locked="0"/>
    </xf>
    <xf numFmtId="0" fontId="13" fillId="7" borderId="6" xfId="0" applyFont="1" applyFill="1" applyBorder="1" applyAlignment="1" applyProtection="1">
      <alignment vertical="center"/>
      <protection locked="0"/>
    </xf>
    <xf numFmtId="0" fontId="13" fillId="7" borderId="5" xfId="0" applyFont="1" applyFill="1" applyBorder="1" applyAlignment="1" applyProtection="1">
      <alignment vertical="center"/>
      <protection locked="0"/>
    </xf>
    <xf numFmtId="0" fontId="0" fillId="8" borderId="5" xfId="0" applyFill="1" applyBorder="1" applyAlignment="1" applyProtection="1">
      <alignment vertical="center"/>
      <protection locked="0"/>
    </xf>
    <xf numFmtId="4" fontId="0" fillId="0" borderId="0" xfId="0" applyNumberFormat="1"/>
    <xf numFmtId="0" fontId="0" fillId="0" borderId="6" xfId="0" applyBorder="1" applyAlignment="1">
      <alignment horizontal="left" vertical="center"/>
    </xf>
    <xf numFmtId="0" fontId="0" fillId="9" borderId="5" xfId="0" applyFill="1" applyBorder="1" applyAlignment="1" applyProtection="1">
      <alignment vertical="center"/>
    </xf>
    <xf numFmtId="4" fontId="1" fillId="9" borderId="5" xfId="0" applyNumberFormat="1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0" borderId="11" xfId="0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9" borderId="24" xfId="0" applyFill="1" applyBorder="1" applyAlignment="1" applyProtection="1">
      <alignment vertical="center"/>
    </xf>
    <xf numFmtId="4" fontId="1" fillId="9" borderId="24" xfId="0" applyNumberFormat="1" applyFont="1" applyFill="1" applyBorder="1" applyAlignment="1" applyProtection="1">
      <alignment vertical="center"/>
    </xf>
    <xf numFmtId="0" fontId="0" fillId="0" borderId="40" xfId="0" applyBorder="1" applyAlignment="1" applyProtection="1">
      <alignment horizontal="left" vertical="center"/>
    </xf>
    <xf numFmtId="0" fontId="7" fillId="0" borderId="7" xfId="0" applyFont="1" applyBorder="1" applyAlignment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0" fillId="0" borderId="12" xfId="0" applyNumberFormat="1" applyFill="1" applyBorder="1" applyAlignment="1" applyProtection="1">
      <alignment vertical="center"/>
    </xf>
    <xf numFmtId="0" fontId="7" fillId="0" borderId="12" xfId="0" applyNumberFormat="1" applyFont="1" applyFill="1" applyBorder="1" applyAlignment="1" applyProtection="1">
      <alignment vertical="center"/>
    </xf>
    <xf numFmtId="0" fontId="1" fillId="0" borderId="12" xfId="0" applyNumberFormat="1" applyFont="1" applyFill="1" applyBorder="1" applyAlignment="1" applyProtection="1">
      <alignment vertical="center"/>
    </xf>
    <xf numFmtId="0" fontId="13" fillId="0" borderId="40" xfId="0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13" fillId="0" borderId="10" xfId="0" applyFont="1" applyBorder="1" applyAlignment="1">
      <alignment horizontal="righ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4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 applyProtection="1">
      <alignment vertical="center"/>
    </xf>
    <xf numFmtId="0" fontId="4" fillId="7" borderId="4" xfId="0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right"/>
    </xf>
    <xf numFmtId="0" fontId="13" fillId="0" borderId="0" xfId="0" applyFont="1" applyFill="1" applyAlignment="1">
      <alignment horizontal="left" vertical="center"/>
    </xf>
    <xf numFmtId="0" fontId="0" fillId="8" borderId="6" xfId="0" applyFill="1" applyBorder="1" applyAlignment="1" applyProtection="1">
      <alignment vertical="center"/>
      <protection locked="0"/>
    </xf>
    <xf numFmtId="0" fontId="13" fillId="0" borderId="2" xfId="0" applyFont="1" applyBorder="1" applyAlignment="1">
      <alignment vertical="center"/>
    </xf>
    <xf numFmtId="0" fontId="4" fillId="0" borderId="28" xfId="0" applyFont="1" applyFill="1" applyBorder="1" applyAlignment="1" applyProtection="1">
      <alignment horizontal="right" vertical="center"/>
    </xf>
    <xf numFmtId="0" fontId="4" fillId="7" borderId="6" xfId="0" applyFont="1" applyFill="1" applyBorder="1" applyAlignment="1" applyProtection="1">
      <alignment horizontal="center" vertical="center"/>
      <protection locked="0"/>
    </xf>
    <xf numFmtId="4" fontId="7" fillId="9" borderId="5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0" fontId="13" fillId="0" borderId="4" xfId="0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13" fillId="3" borderId="2" xfId="0" applyFont="1" applyFill="1" applyBorder="1" applyAlignment="1" applyProtection="1">
      <alignment vertical="center"/>
      <protection locked="0"/>
    </xf>
    <xf numFmtId="0" fontId="13" fillId="10" borderId="2" xfId="0" applyFont="1" applyFill="1" applyBorder="1" applyAlignment="1" applyProtection="1">
      <alignment vertical="center"/>
      <protection locked="0"/>
    </xf>
    <xf numFmtId="0" fontId="13" fillId="3" borderId="17" xfId="0" applyFont="1" applyFill="1" applyBorder="1" applyAlignment="1" applyProtection="1">
      <alignment vertical="center"/>
      <protection locked="0"/>
    </xf>
    <xf numFmtId="0" fontId="13" fillId="3" borderId="29" xfId="0" applyFont="1" applyFill="1" applyBorder="1" applyAlignment="1" applyProtection="1">
      <alignment vertical="center"/>
      <protection locked="0"/>
    </xf>
    <xf numFmtId="0" fontId="13" fillId="3" borderId="15" xfId="0" applyFont="1" applyFill="1" applyBorder="1" applyAlignment="1" applyProtection="1">
      <alignment vertical="center"/>
      <protection locked="0"/>
    </xf>
    <xf numFmtId="0" fontId="12" fillId="0" borderId="0" xfId="1" applyAlignment="1" applyProtection="1">
      <alignment vertical="top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0" fillId="0" borderId="0" xfId="0" applyNumberFormat="1"/>
    <xf numFmtId="0" fontId="4" fillId="0" borderId="0" xfId="0" applyNumberFormat="1" applyFont="1" applyFill="1" applyBorder="1" applyAlignment="1" applyProtection="1">
      <alignment vertical="center"/>
    </xf>
    <xf numFmtId="0" fontId="1" fillId="3" borderId="2" xfId="0" applyFont="1" applyFill="1" applyBorder="1" applyAlignment="1" applyProtection="1">
      <alignment vertical="top"/>
      <protection locked="0"/>
    </xf>
    <xf numFmtId="14" fontId="0" fillId="0" borderId="0" xfId="0" applyNumberFormat="1" applyAlignment="1">
      <alignment vertical="top"/>
    </xf>
    <xf numFmtId="0" fontId="1" fillId="0" borderId="0" xfId="0" applyFont="1"/>
    <xf numFmtId="3" fontId="0" fillId="0" borderId="0" xfId="0" applyNumberFormat="1" applyAlignment="1">
      <alignment vertical="top"/>
    </xf>
    <xf numFmtId="3" fontId="1" fillId="0" borderId="0" xfId="0" applyNumberFormat="1" applyFont="1" applyAlignment="1">
      <alignment vertical="top"/>
    </xf>
    <xf numFmtId="0" fontId="1" fillId="0" borderId="0" xfId="0" quotePrefix="1" applyFont="1"/>
    <xf numFmtId="3" fontId="1" fillId="2" borderId="5" xfId="0" applyNumberFormat="1" applyFont="1" applyFill="1" applyBorder="1" applyAlignment="1" applyProtection="1">
      <alignment vertical="top"/>
      <protection locked="0"/>
    </xf>
    <xf numFmtId="0" fontId="1" fillId="7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2" fillId="0" borderId="0" xfId="1" applyAlignment="1" applyProtection="1">
      <alignment vertical="top" wrapText="1"/>
    </xf>
    <xf numFmtId="0" fontId="0" fillId="11" borderId="5" xfId="0" applyFill="1" applyBorder="1" applyAlignment="1" applyProtection="1">
      <alignment vertical="top"/>
      <protection locked="0"/>
    </xf>
    <xf numFmtId="0" fontId="0" fillId="7" borderId="2" xfId="0" applyFill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0" fillId="3" borderId="5" xfId="0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2" borderId="17" xfId="0" applyFont="1" applyFill="1" applyBorder="1" applyAlignment="1" applyProtection="1">
      <alignment horizontal="center"/>
      <protection locked="0"/>
    </xf>
    <xf numFmtId="0" fontId="7" fillId="2" borderId="36" xfId="0" applyFont="1" applyFill="1" applyBorder="1" applyAlignment="1" applyProtection="1">
      <alignment horizontal="center"/>
      <protection locked="0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36" xfId="0" applyFill="1" applyBorder="1" applyAlignment="1" applyProtection="1">
      <alignment horizontal="center"/>
      <protection locked="0"/>
    </xf>
    <xf numFmtId="0" fontId="7" fillId="2" borderId="29" xfId="0" applyFont="1" applyFill="1" applyBorder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3</xdr:row>
          <xdr:rowOff>0</xdr:rowOff>
        </xdr:from>
        <xdr:to>
          <xdr:col>4</xdr:col>
          <xdr:colOff>19050</xdr:colOff>
          <xdr:row>4</xdr:row>
          <xdr:rowOff>19050</xdr:rowOff>
        </xdr:to>
        <xdr:sp macro="" textlink="">
          <xdr:nvSpPr>
            <xdr:cNvPr id="1036" name="ARAWahl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0</xdr:row>
          <xdr:rowOff>47625</xdr:rowOff>
        </xdr:from>
        <xdr:to>
          <xdr:col>5</xdr:col>
          <xdr:colOff>3352800</xdr:colOff>
          <xdr:row>1</xdr:row>
          <xdr:rowOff>190500</xdr:rowOff>
        </xdr:to>
        <xdr:sp macro="" textlink="">
          <xdr:nvSpPr>
            <xdr:cNvPr id="1037" name="SprachWahl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1038225</xdr:colOff>
      <xdr:row>95</xdr:row>
      <xdr:rowOff>14287</xdr:rowOff>
    </xdr:from>
    <xdr:ext cx="4410076" cy="4321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 txBox="1"/>
          </xdr:nvSpPr>
          <xdr:spPr>
            <a:xfrm>
              <a:off x="1419225" y="13873162"/>
              <a:ext cx="4410076" cy="4321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/>
                      </a:rPr>
                      <m:t>𝑇𝑆</m:t>
                    </m:r>
                    <m:r>
                      <a:rPr lang="de-CH" sz="1100" b="0" i="1">
                        <a:latin typeface="Cambria Math"/>
                      </a:rPr>
                      <m:t>−</m:t>
                    </m:r>
                    <m:r>
                      <a:rPr lang="de-CH" sz="1100" b="0" i="1">
                        <a:latin typeface="Cambria Math"/>
                      </a:rPr>
                      <m:t>𝐹𝑟𝑎𝑐h𝑡</m:t>
                    </m:r>
                    <m:r>
                      <a:rPr lang="de-CH" sz="1100" b="0" i="1">
                        <a:latin typeface="Cambria Math"/>
                      </a:rPr>
                      <m:t> </m:t>
                    </m:r>
                    <m:d>
                      <m:dPr>
                        <m:begChr m:val="["/>
                        <m:endChr m:val="]"/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de-CH" sz="1100" b="0" i="1">
                            <a:latin typeface="Cambria Math"/>
                          </a:rPr>
                          <m:t>𝑡</m:t>
                        </m:r>
                        <m:r>
                          <a:rPr lang="de-CH" sz="1100" b="0" i="1">
                            <a:latin typeface="Cambria Math"/>
                          </a:rPr>
                          <m:t> </m:t>
                        </m:r>
                        <m:r>
                          <a:rPr lang="de-CH" sz="1100" b="0" i="1">
                            <a:latin typeface="Cambria Math"/>
                          </a:rPr>
                          <m:t>𝑇𝑆</m:t>
                        </m:r>
                      </m:e>
                    </m:d>
                    <m:r>
                      <a:rPr lang="de-CH" sz="1100" b="0" i="1">
                        <a:latin typeface="Cambria Math"/>
                        <a:ea typeface="Cambria Math"/>
                      </a:rPr>
                      <m:t>=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/>
                            <a:ea typeface="Cambria Math"/>
                          </a:rPr>
                          <m:t>𝑆𝑐h𝑙𝑎𝑚𝑚𝑒𝑛𝑔𝑒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de-CH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sSup>
                              <m:sSupPr>
                                <m:ctrlPr>
                                  <a:rPr lang="de-CH" sz="11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</m:ctrlPr>
                              </m:sSupPr>
                              <m:e>
                                <m:r>
                                  <a:rPr lang="de-CH" sz="1100" b="0" i="1">
                                    <a:latin typeface="Cambria Math"/>
                                    <a:ea typeface="Cambria Math"/>
                                  </a:rPr>
                                  <m:t>𝑚</m:t>
                                </m:r>
                              </m:e>
                              <m:sup>
                                <m:r>
                                  <a:rPr lang="de-CH" sz="1100" b="0" i="1">
                                    <a:latin typeface="Cambria Math"/>
                                    <a:ea typeface="Cambria Math"/>
                                  </a:rPr>
                                  <m:t>3</m:t>
                                </m:r>
                              </m:sup>
                            </m:sSup>
                            <m:r>
                              <a:rPr lang="de-CH" sz="1100" b="0" i="1">
                                <a:latin typeface="Cambria Math"/>
                                <a:ea typeface="Cambria Math"/>
                              </a:rPr>
                              <m:t>𝑟𝑠𝑝</m:t>
                            </m:r>
                            <m:r>
                              <a:rPr lang="de-CH" sz="1100" b="0" i="1">
                                <a:latin typeface="Cambria Math"/>
                                <a:ea typeface="Cambria Math"/>
                              </a:rPr>
                              <m:t>. </m:t>
                            </m:r>
                            <m:r>
                              <a:rPr lang="de-CH" sz="1100" b="0" i="1">
                                <a:latin typeface="Cambria Math"/>
                                <a:ea typeface="Cambria Math"/>
                              </a:rPr>
                              <m:t>𝑡</m:t>
                            </m:r>
                          </m:e>
                        </m:d>
                        <m:r>
                          <a:rPr lang="de-CH" sz="1100" b="0" i="1">
                            <a:latin typeface="Cambria Math"/>
                            <a:ea typeface="Cambria Math"/>
                          </a:rPr>
                          <m:t>∗</m:t>
                        </m:r>
                        <m:r>
                          <a:rPr lang="de-CH" sz="1100" b="0" i="1">
                            <a:latin typeface="Cambria Math"/>
                            <a:ea typeface="Cambria Math"/>
                          </a:rPr>
                          <m:t>𝑇𝑆</m:t>
                        </m:r>
                        <m:r>
                          <a:rPr lang="de-CH" sz="1100" b="0" i="1">
                            <a:latin typeface="Cambria Math"/>
                            <a:ea typeface="Cambria Math"/>
                          </a:rPr>
                          <m:t>−</m:t>
                        </m:r>
                        <m:r>
                          <a:rPr lang="de-CH" sz="1100" b="0" i="1">
                            <a:latin typeface="Cambria Math"/>
                            <a:ea typeface="Cambria Math"/>
                          </a:rPr>
                          <m:t>𝐺𝑒h𝑎𝑙𝑡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de-CH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f>
                              <m:fPr>
                                <m:type m:val="lin"/>
                                <m:ctrlPr>
                                  <a:rPr lang="de-CH" sz="11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</m:ctrlPr>
                              </m:fPr>
                              <m:num>
                                <m:r>
                                  <a:rPr lang="de-CH" sz="1100" b="0" i="1">
                                    <a:latin typeface="Cambria Math"/>
                                    <a:ea typeface="Cambria Math"/>
                                  </a:rPr>
                                  <m:t>𝑔</m:t>
                                </m:r>
                              </m:num>
                              <m:den>
                                <m:r>
                                  <a:rPr lang="de-CH" sz="1100" b="0" i="1">
                                    <a:latin typeface="Cambria Math"/>
                                    <a:ea typeface="Cambria Math"/>
                                  </a:rPr>
                                  <m:t>𝑙</m:t>
                                </m:r>
                              </m:den>
                            </m:f>
                          </m:e>
                        </m:d>
                      </m:num>
                      <m:den>
                        <m:r>
                          <a:rPr lang="de-CH" sz="1100" b="0" i="1">
                            <a:latin typeface="Cambria Math"/>
                            <a:ea typeface="Cambria Math"/>
                          </a:rPr>
                          <m:t>1000</m:t>
                        </m:r>
                      </m:den>
                    </m:f>
                  </m:oMath>
                </m:oMathPara>
              </a14:m>
              <a:endParaRPr lang="de-CH" sz="1100"/>
            </a:p>
          </xdr:txBody>
        </xdr:sp>
      </mc:Choice>
      <mc:Fallback xmlns="">
        <xdr:sp macro="" textlink="">
          <xdr:nvSpPr>
            <xdr:cNvPr id="3" name="Textfeld 2"/>
            <xdr:cNvSpPr txBox="1"/>
          </xdr:nvSpPr>
          <xdr:spPr>
            <a:xfrm xmlns:a="http://schemas.openxmlformats.org/drawingml/2006/main">
              <a:off x="1419225" y="13873162"/>
              <a:ext cx="4410076" cy="432106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de-CH" sz="1100" b="0" i="0">
                  <a:latin typeface="Cambria Math"/>
                </a:rPr>
                <a:t>𝑇𝑆−𝐹𝑟𝑎𝑐ℎ𝑡 </a:t>
              </a:r>
              <a:r>
                <a:rPr lang="de-CH" sz="1100" b="0" i="0">
                  <a:latin typeface="Cambria Math" panose="02040503050406030204" pitchFamily="18" charset="0"/>
                </a:rPr>
                <a:t>[</a:t>
              </a:r>
              <a:r>
                <a:rPr lang="de-CH" sz="1100" b="0" i="0">
                  <a:latin typeface="Cambria Math"/>
                </a:rPr>
                <a:t>𝑡 𝑇𝑆</a:t>
              </a:r>
              <a:r>
                <a:rPr lang="de-CH" sz="1100" b="0" i="0">
                  <a:latin typeface="Cambria Math" panose="02040503050406030204" pitchFamily="18" charset="0"/>
                </a:rPr>
                <a:t>]</a:t>
              </a:r>
              <a:r>
                <a:rPr lang="de-CH" sz="1100" b="0" i="0">
                  <a:latin typeface="Cambria Math"/>
                  <a:ea typeface="Cambria Math"/>
                </a:rPr>
                <a:t>=</a:t>
              </a:r>
              <a:r>
                <a:rPr lang="de-CH" sz="1100" b="0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de-CH" sz="1100" b="0" i="0">
                  <a:latin typeface="Cambria Math"/>
                  <a:ea typeface="Cambria Math"/>
                </a:rPr>
                <a:t>𝑆𝑐ℎ𝑙𝑎𝑚𝑚𝑒𝑛𝑔𝑒</a:t>
              </a:r>
              <a:r>
                <a:rPr lang="de-CH" sz="1100" b="0" i="0">
                  <a:latin typeface="Cambria Math" panose="02040503050406030204" pitchFamily="18" charset="0"/>
                  <a:ea typeface="Cambria Math"/>
                </a:rPr>
                <a:t>[</a:t>
              </a:r>
              <a:r>
                <a:rPr lang="de-CH" sz="1100" b="0" i="0">
                  <a:latin typeface="Cambria Math"/>
                  <a:ea typeface="Cambria Math"/>
                </a:rPr>
                <a:t>𝑚</a:t>
              </a:r>
              <a:r>
                <a:rPr lang="de-CH" sz="1100" b="0" i="0">
                  <a:latin typeface="Cambria Math" panose="02040503050406030204" pitchFamily="18" charset="0"/>
                  <a:ea typeface="Cambria Math"/>
                </a:rPr>
                <a:t>^</a:t>
              </a:r>
              <a:r>
                <a:rPr lang="de-CH" sz="1100" b="0" i="0">
                  <a:latin typeface="Cambria Math"/>
                  <a:ea typeface="Cambria Math"/>
                </a:rPr>
                <a:t>3 𝑟𝑠𝑝. 𝑡</a:t>
              </a:r>
              <a:r>
                <a:rPr lang="de-CH" sz="1100" b="0" i="0">
                  <a:latin typeface="Cambria Math" panose="02040503050406030204" pitchFamily="18" charset="0"/>
                  <a:ea typeface="Cambria Math"/>
                </a:rPr>
                <a:t>]</a:t>
              </a:r>
              <a:r>
                <a:rPr lang="de-CH" sz="1100" b="0" i="0">
                  <a:latin typeface="Cambria Math"/>
                  <a:ea typeface="Cambria Math"/>
                </a:rPr>
                <a:t>∗𝑇𝑆−𝐺𝑒ℎ𝑎𝑙𝑡</a:t>
              </a:r>
              <a:r>
                <a:rPr lang="de-CH" sz="1100" b="0" i="0">
                  <a:latin typeface="Cambria Math" panose="02040503050406030204" pitchFamily="18" charset="0"/>
                  <a:ea typeface="Cambria Math"/>
                </a:rPr>
                <a:t>[</a:t>
              </a:r>
              <a:r>
                <a:rPr lang="de-CH" sz="1100" b="0" i="0">
                  <a:latin typeface="Cambria Math"/>
                  <a:ea typeface="Cambria Math"/>
                </a:rPr>
                <a:t>𝑔</a:t>
              </a:r>
              <a:r>
                <a:rPr lang="de-CH" sz="1100" b="0" i="0">
                  <a:latin typeface="Cambria Math" panose="02040503050406030204" pitchFamily="18" charset="0"/>
                  <a:ea typeface="Cambria Math"/>
                </a:rPr>
                <a:t>∕</a:t>
              </a:r>
              <a:r>
                <a:rPr lang="de-CH" sz="1100" b="0" i="0">
                  <a:latin typeface="Cambria Math"/>
                  <a:ea typeface="Cambria Math"/>
                </a:rPr>
                <a:t>𝑙</a:t>
              </a:r>
              <a:r>
                <a:rPr lang="de-CH" sz="1100" b="0" i="0">
                  <a:latin typeface="Cambria Math" panose="02040503050406030204" pitchFamily="18" charset="0"/>
                  <a:ea typeface="Cambria Math"/>
                </a:rPr>
                <a:t>])/</a:t>
              </a:r>
              <a:r>
                <a:rPr lang="de-CH" sz="1100" b="0" i="0">
                  <a:latin typeface="Cambria Math"/>
                  <a:ea typeface="Cambria Math"/>
                </a:rPr>
                <a:t>1000</a:t>
              </a:r>
              <a:endParaRPr lang="de-CH" sz="1100"/>
            </a:p>
          </xdr:txBody>
        </xdr:sp>
      </mc:Fallback>
    </mc:AlternateContent>
    <xdr:clientData/>
  </xdr:oneCellAnchor>
  <xdr:oneCellAnchor>
    <xdr:from>
      <xdr:col>1</xdr:col>
      <xdr:colOff>1038225</xdr:colOff>
      <xdr:row>99</xdr:row>
      <xdr:rowOff>9525</xdr:rowOff>
    </xdr:from>
    <xdr:ext cx="2124075" cy="4470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feld 17">
              <a:extLs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SpPr txBox="1"/>
          </xdr:nvSpPr>
          <xdr:spPr>
            <a:xfrm>
              <a:off x="1419225" y="14516100"/>
              <a:ext cx="2124075" cy="4470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/>
                            <a:ea typeface="Cambria Math"/>
                          </a:rPr>
                          <m:t>250 </m:t>
                        </m:r>
                        <m:sSup>
                          <m:sSupPr>
                            <m:ctrlPr>
                              <a:rPr lang="de-CH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pPr>
                          <m:e>
                            <m:r>
                              <a:rPr lang="de-CH" sz="1100" b="0" i="1">
                                <a:latin typeface="Cambria Math"/>
                                <a:ea typeface="Cambria Math"/>
                              </a:rPr>
                              <m:t>𝑚</m:t>
                            </m:r>
                          </m:e>
                          <m:sup>
                            <m:r>
                              <a:rPr lang="de-CH" sz="1100" b="0" i="1">
                                <a:latin typeface="Cambria Math"/>
                                <a:ea typeface="Cambria Math"/>
                              </a:rPr>
                              <m:t>3</m:t>
                            </m:r>
                          </m:sup>
                        </m:sSup>
                        <m:r>
                          <a:rPr lang="de-CH" sz="1100" b="0" i="1">
                            <a:latin typeface="Cambria Math"/>
                            <a:ea typeface="Cambria Math"/>
                          </a:rPr>
                          <m:t>∗35</m:t>
                        </m:r>
                        <m:f>
                          <m:fPr>
                            <m:type m:val="lin"/>
                            <m:ctrlPr>
                              <a:rPr lang="de-CH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fPr>
                          <m:num>
                            <m:r>
                              <a:rPr lang="de-CH" sz="1100" b="0" i="1">
                                <a:latin typeface="Cambria Math"/>
                                <a:ea typeface="Cambria Math"/>
                              </a:rPr>
                              <m:t>𝑔</m:t>
                            </m:r>
                          </m:num>
                          <m:den>
                            <m:r>
                              <a:rPr lang="de-CH" sz="1100" b="0" i="1">
                                <a:latin typeface="Cambria Math"/>
                                <a:ea typeface="Cambria Math"/>
                              </a:rPr>
                              <m:t>𝑙</m:t>
                            </m:r>
                          </m:den>
                        </m:f>
                      </m:num>
                      <m:den>
                        <m:r>
                          <a:rPr lang="de-CH" sz="1100" b="0" i="1">
                            <a:latin typeface="Cambria Math"/>
                            <a:ea typeface="Cambria Math"/>
                          </a:rPr>
                          <m:t>1000</m:t>
                        </m:r>
                      </m:den>
                    </m:f>
                    <m:r>
                      <a:rPr lang="de-CH" sz="1100" b="0" i="1">
                        <a:latin typeface="Cambria Math"/>
                        <a:ea typeface="Cambria Math"/>
                      </a:rPr>
                      <m:t>=8.75 </m:t>
                    </m:r>
                    <m:r>
                      <a:rPr lang="de-CH" sz="1100" b="0" i="1">
                        <a:latin typeface="Cambria Math"/>
                        <a:ea typeface="Cambria Math"/>
                      </a:rPr>
                      <m:t>𝑡</m:t>
                    </m:r>
                    <m:r>
                      <a:rPr lang="de-CH" sz="1100" b="0" i="1">
                        <a:latin typeface="Cambria Math"/>
                        <a:ea typeface="Cambria Math"/>
                      </a:rPr>
                      <m:t> </m:t>
                    </m:r>
                    <m:r>
                      <a:rPr lang="de-CH" sz="1100" b="0" i="1">
                        <a:latin typeface="Cambria Math"/>
                        <a:ea typeface="Cambria Math"/>
                      </a:rPr>
                      <m:t>𝑇𝑆</m:t>
                    </m:r>
                  </m:oMath>
                </m:oMathPara>
              </a14:m>
              <a:endParaRPr lang="de-CH" sz="1100"/>
            </a:p>
          </xdr:txBody>
        </xdr:sp>
      </mc:Choice>
      <mc:Fallback xmlns="">
        <xdr:sp macro="" textlink="">
          <xdr:nvSpPr>
            <xdr:cNvPr id="18" name="Textfeld 17"/>
            <xdr:cNvSpPr txBox="1"/>
          </xdr:nvSpPr>
          <xdr:spPr>
            <a:xfrm xmlns:a="http://schemas.openxmlformats.org/drawingml/2006/main">
              <a:off x="1419225" y="14516100"/>
              <a:ext cx="2124075" cy="447045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de-CH" sz="1100" b="0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de-CH" sz="1100" b="0" i="0">
                  <a:latin typeface="Cambria Math"/>
                  <a:ea typeface="Cambria Math"/>
                </a:rPr>
                <a:t>250 𝑚</a:t>
              </a:r>
              <a:r>
                <a:rPr lang="de-CH" sz="1100" b="0" i="0">
                  <a:latin typeface="Cambria Math" panose="02040503050406030204" pitchFamily="18" charset="0"/>
                  <a:ea typeface="Cambria Math"/>
                </a:rPr>
                <a:t>^</a:t>
              </a:r>
              <a:r>
                <a:rPr lang="de-CH" sz="1100" b="0" i="0">
                  <a:latin typeface="Cambria Math"/>
                  <a:ea typeface="Cambria Math"/>
                </a:rPr>
                <a:t>3∗35 𝑔</a:t>
              </a:r>
              <a:r>
                <a:rPr lang="de-CH" sz="1100" b="0" i="0">
                  <a:latin typeface="Cambria Math" panose="02040503050406030204" pitchFamily="18" charset="0"/>
                  <a:ea typeface="Cambria Math"/>
                </a:rPr>
                <a:t>∕</a:t>
              </a:r>
              <a:r>
                <a:rPr lang="de-CH" sz="1100" b="0" i="0">
                  <a:latin typeface="Cambria Math"/>
                  <a:ea typeface="Cambria Math"/>
                </a:rPr>
                <a:t>𝑙</a:t>
              </a:r>
              <a:r>
                <a:rPr lang="de-CH" sz="1100" b="0" i="0">
                  <a:latin typeface="Cambria Math" panose="02040503050406030204" pitchFamily="18" charset="0"/>
                  <a:ea typeface="Cambria Math"/>
                </a:rPr>
                <a:t>)/</a:t>
              </a:r>
              <a:r>
                <a:rPr lang="de-CH" sz="1100" b="0" i="0">
                  <a:latin typeface="Cambria Math"/>
                  <a:ea typeface="Cambria Math"/>
                </a:rPr>
                <a:t>1000=8.75 𝑡 𝑇𝑆</a:t>
              </a:r>
              <a:endParaRPr lang="de-CH" sz="1100"/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48</xdr:row>
          <xdr:rowOff>9525</xdr:rowOff>
        </xdr:from>
        <xdr:to>
          <xdr:col>6</xdr:col>
          <xdr:colOff>1228725</xdr:colOff>
          <xdr:row>49</xdr:row>
          <xdr:rowOff>0</xdr:rowOff>
        </xdr:to>
        <xdr:sp macro="" textlink="">
          <xdr:nvSpPr>
            <xdr:cNvPr id="3134" name="ComboBox1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2</xdr:col>
          <xdr:colOff>180975</xdr:colOff>
          <xdr:row>10</xdr:row>
          <xdr:rowOff>209550</xdr:rowOff>
        </xdr:to>
        <xdr:sp macro="" textlink="">
          <xdr:nvSpPr>
            <xdr:cNvPr id="3285" name="CheckBox1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2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19050</xdr:rowOff>
        </xdr:from>
        <xdr:to>
          <xdr:col>2</xdr:col>
          <xdr:colOff>180975</xdr:colOff>
          <xdr:row>11</xdr:row>
          <xdr:rowOff>200025</xdr:rowOff>
        </xdr:to>
        <xdr:sp macro="" textlink="">
          <xdr:nvSpPr>
            <xdr:cNvPr id="3288" name="CheckBox2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2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19050</xdr:rowOff>
        </xdr:from>
        <xdr:to>
          <xdr:col>2</xdr:col>
          <xdr:colOff>180975</xdr:colOff>
          <xdr:row>12</xdr:row>
          <xdr:rowOff>200025</xdr:rowOff>
        </xdr:to>
        <xdr:sp macro="" textlink="">
          <xdr:nvSpPr>
            <xdr:cNvPr id="3289" name="CheckBox3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2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</xdr:row>
          <xdr:rowOff>28575</xdr:rowOff>
        </xdr:from>
        <xdr:to>
          <xdr:col>6</xdr:col>
          <xdr:colOff>180975</xdr:colOff>
          <xdr:row>10</xdr:row>
          <xdr:rowOff>209550</xdr:rowOff>
        </xdr:to>
        <xdr:sp macro="" textlink="">
          <xdr:nvSpPr>
            <xdr:cNvPr id="3290" name="CheckBox4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2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19050</xdr:rowOff>
        </xdr:from>
        <xdr:to>
          <xdr:col>6</xdr:col>
          <xdr:colOff>180975</xdr:colOff>
          <xdr:row>11</xdr:row>
          <xdr:rowOff>200025</xdr:rowOff>
        </xdr:to>
        <xdr:sp macro="" textlink="">
          <xdr:nvSpPr>
            <xdr:cNvPr id="3291" name="CheckBox5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2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38100</xdr:rowOff>
        </xdr:from>
        <xdr:to>
          <xdr:col>2</xdr:col>
          <xdr:colOff>180975</xdr:colOff>
          <xdr:row>16</xdr:row>
          <xdr:rowOff>219075</xdr:rowOff>
        </xdr:to>
        <xdr:sp macro="" textlink="">
          <xdr:nvSpPr>
            <xdr:cNvPr id="3292" name="CheckBox6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2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28575</xdr:rowOff>
        </xdr:from>
        <xdr:to>
          <xdr:col>2</xdr:col>
          <xdr:colOff>180975</xdr:colOff>
          <xdr:row>17</xdr:row>
          <xdr:rowOff>209550</xdr:rowOff>
        </xdr:to>
        <xdr:sp macro="" textlink="">
          <xdr:nvSpPr>
            <xdr:cNvPr id="3293" name="CheckBox7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2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19050</xdr:rowOff>
        </xdr:from>
        <xdr:to>
          <xdr:col>2</xdr:col>
          <xdr:colOff>180975</xdr:colOff>
          <xdr:row>18</xdr:row>
          <xdr:rowOff>200025</xdr:rowOff>
        </xdr:to>
        <xdr:sp macro="" textlink="">
          <xdr:nvSpPr>
            <xdr:cNvPr id="3294" name="CheckBox8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2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28575</xdr:rowOff>
        </xdr:from>
        <xdr:to>
          <xdr:col>2</xdr:col>
          <xdr:colOff>180975</xdr:colOff>
          <xdr:row>22</xdr:row>
          <xdr:rowOff>209550</xdr:rowOff>
        </xdr:to>
        <xdr:sp macro="" textlink="">
          <xdr:nvSpPr>
            <xdr:cNvPr id="3295" name="CheckBox9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2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19050</xdr:rowOff>
        </xdr:from>
        <xdr:to>
          <xdr:col>2</xdr:col>
          <xdr:colOff>180975</xdr:colOff>
          <xdr:row>23</xdr:row>
          <xdr:rowOff>200025</xdr:rowOff>
        </xdr:to>
        <xdr:sp macro="" textlink="">
          <xdr:nvSpPr>
            <xdr:cNvPr id="3296" name="CheckBox10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2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9525</xdr:rowOff>
        </xdr:from>
        <xdr:to>
          <xdr:col>2</xdr:col>
          <xdr:colOff>180975</xdr:colOff>
          <xdr:row>24</xdr:row>
          <xdr:rowOff>190500</xdr:rowOff>
        </xdr:to>
        <xdr:sp macro="" textlink="">
          <xdr:nvSpPr>
            <xdr:cNvPr id="3297" name="CheckBox11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2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28</xdr:row>
          <xdr:rowOff>28575</xdr:rowOff>
        </xdr:from>
        <xdr:to>
          <xdr:col>2</xdr:col>
          <xdr:colOff>180975</xdr:colOff>
          <xdr:row>28</xdr:row>
          <xdr:rowOff>209550</xdr:rowOff>
        </xdr:to>
        <xdr:sp macro="" textlink="">
          <xdr:nvSpPr>
            <xdr:cNvPr id="3298" name="CheckBox12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2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29</xdr:row>
          <xdr:rowOff>19050</xdr:rowOff>
        </xdr:from>
        <xdr:to>
          <xdr:col>2</xdr:col>
          <xdr:colOff>180975</xdr:colOff>
          <xdr:row>29</xdr:row>
          <xdr:rowOff>200025</xdr:rowOff>
        </xdr:to>
        <xdr:sp macro="" textlink="">
          <xdr:nvSpPr>
            <xdr:cNvPr id="3299" name="CheckBox13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2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30</xdr:row>
          <xdr:rowOff>9525</xdr:rowOff>
        </xdr:from>
        <xdr:to>
          <xdr:col>2</xdr:col>
          <xdr:colOff>180975</xdr:colOff>
          <xdr:row>30</xdr:row>
          <xdr:rowOff>190500</xdr:rowOff>
        </xdr:to>
        <xdr:sp macro="" textlink="">
          <xdr:nvSpPr>
            <xdr:cNvPr id="3300" name="CheckBox14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2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37</xdr:row>
          <xdr:rowOff>38100</xdr:rowOff>
        </xdr:from>
        <xdr:to>
          <xdr:col>0</xdr:col>
          <xdr:colOff>276225</xdr:colOff>
          <xdr:row>37</xdr:row>
          <xdr:rowOff>219075</xdr:rowOff>
        </xdr:to>
        <xdr:sp macro="" textlink="">
          <xdr:nvSpPr>
            <xdr:cNvPr id="3301" name="CheckBox15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2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40</xdr:row>
          <xdr:rowOff>38100</xdr:rowOff>
        </xdr:from>
        <xdr:to>
          <xdr:col>0</xdr:col>
          <xdr:colOff>276225</xdr:colOff>
          <xdr:row>40</xdr:row>
          <xdr:rowOff>219075</xdr:rowOff>
        </xdr:to>
        <xdr:sp macro="" textlink="">
          <xdr:nvSpPr>
            <xdr:cNvPr id="3302" name="CheckBox16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2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47</xdr:row>
          <xdr:rowOff>38100</xdr:rowOff>
        </xdr:from>
        <xdr:to>
          <xdr:col>0</xdr:col>
          <xdr:colOff>276225</xdr:colOff>
          <xdr:row>47</xdr:row>
          <xdr:rowOff>219075</xdr:rowOff>
        </xdr:to>
        <xdr:sp macro="" textlink="">
          <xdr:nvSpPr>
            <xdr:cNvPr id="3303" name="CheckBox17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2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54</xdr:row>
          <xdr:rowOff>38100</xdr:rowOff>
        </xdr:from>
        <xdr:to>
          <xdr:col>4</xdr:col>
          <xdr:colOff>733425</xdr:colOff>
          <xdr:row>54</xdr:row>
          <xdr:rowOff>219075</xdr:rowOff>
        </xdr:to>
        <xdr:sp macro="" textlink="">
          <xdr:nvSpPr>
            <xdr:cNvPr id="3304" name="CheckBox18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2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55</xdr:row>
          <xdr:rowOff>38100</xdr:rowOff>
        </xdr:from>
        <xdr:to>
          <xdr:col>4</xdr:col>
          <xdr:colOff>733425</xdr:colOff>
          <xdr:row>55</xdr:row>
          <xdr:rowOff>219075</xdr:rowOff>
        </xdr:to>
        <xdr:sp macro="" textlink="">
          <xdr:nvSpPr>
            <xdr:cNvPr id="3305" name="CheckBox19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2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56</xdr:row>
          <xdr:rowOff>38100</xdr:rowOff>
        </xdr:from>
        <xdr:to>
          <xdr:col>4</xdr:col>
          <xdr:colOff>733425</xdr:colOff>
          <xdr:row>56</xdr:row>
          <xdr:rowOff>219075</xdr:rowOff>
        </xdr:to>
        <xdr:sp macro="" textlink="">
          <xdr:nvSpPr>
            <xdr:cNvPr id="3306" name="CheckBox20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2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57</xdr:row>
          <xdr:rowOff>38100</xdr:rowOff>
        </xdr:from>
        <xdr:to>
          <xdr:col>4</xdr:col>
          <xdr:colOff>733425</xdr:colOff>
          <xdr:row>57</xdr:row>
          <xdr:rowOff>219075</xdr:rowOff>
        </xdr:to>
        <xdr:sp macro="" textlink="">
          <xdr:nvSpPr>
            <xdr:cNvPr id="3307" name="CheckBox21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2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59</xdr:row>
          <xdr:rowOff>38100</xdr:rowOff>
        </xdr:from>
        <xdr:to>
          <xdr:col>4</xdr:col>
          <xdr:colOff>733425</xdr:colOff>
          <xdr:row>59</xdr:row>
          <xdr:rowOff>219075</xdr:rowOff>
        </xdr:to>
        <xdr:sp macro="" textlink="">
          <xdr:nvSpPr>
            <xdr:cNvPr id="3308" name="CheckBox22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2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5</xdr:row>
          <xdr:rowOff>38100</xdr:rowOff>
        </xdr:from>
        <xdr:to>
          <xdr:col>0</xdr:col>
          <xdr:colOff>400050</xdr:colOff>
          <xdr:row>5</xdr:row>
          <xdr:rowOff>219075</xdr:rowOff>
        </xdr:to>
        <xdr:sp macro="" textlink="">
          <xdr:nvSpPr>
            <xdr:cNvPr id="2159" name="CheckBox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4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ichael.holzer@anu.gr.ch" TargetMode="External"/><Relationship Id="rId1" Type="http://schemas.openxmlformats.org/officeDocument/2006/relationships/hyperlink" Target="mailto:michael.holzer@anu.gr.ch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13" Type="http://schemas.openxmlformats.org/officeDocument/2006/relationships/control" Target="../activeX/activeX11.xml"/><Relationship Id="rId18" Type="http://schemas.openxmlformats.org/officeDocument/2006/relationships/control" Target="../activeX/activeX16.xml"/><Relationship Id="rId26" Type="http://schemas.openxmlformats.org/officeDocument/2006/relationships/control" Target="../activeX/activeX24.xml"/><Relationship Id="rId3" Type="http://schemas.openxmlformats.org/officeDocument/2006/relationships/vmlDrawing" Target="../drawings/vmlDrawing2.vml"/><Relationship Id="rId21" Type="http://schemas.openxmlformats.org/officeDocument/2006/relationships/control" Target="../activeX/activeX19.xml"/><Relationship Id="rId7" Type="http://schemas.openxmlformats.org/officeDocument/2006/relationships/control" Target="../activeX/activeX5.xml"/><Relationship Id="rId12" Type="http://schemas.openxmlformats.org/officeDocument/2006/relationships/control" Target="../activeX/activeX10.xml"/><Relationship Id="rId17" Type="http://schemas.openxmlformats.org/officeDocument/2006/relationships/control" Target="../activeX/activeX15.xml"/><Relationship Id="rId25" Type="http://schemas.openxmlformats.org/officeDocument/2006/relationships/control" Target="../activeX/activeX23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4.xml"/><Relationship Id="rId20" Type="http://schemas.openxmlformats.org/officeDocument/2006/relationships/control" Target="../activeX/activeX18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4.xml"/><Relationship Id="rId11" Type="http://schemas.openxmlformats.org/officeDocument/2006/relationships/control" Target="../activeX/activeX9.xml"/><Relationship Id="rId24" Type="http://schemas.openxmlformats.org/officeDocument/2006/relationships/control" Target="../activeX/activeX22.xml"/><Relationship Id="rId5" Type="http://schemas.openxmlformats.org/officeDocument/2006/relationships/image" Target="../media/image3.emf"/><Relationship Id="rId15" Type="http://schemas.openxmlformats.org/officeDocument/2006/relationships/control" Target="../activeX/activeX13.xml"/><Relationship Id="rId23" Type="http://schemas.openxmlformats.org/officeDocument/2006/relationships/control" Target="../activeX/activeX21.xml"/><Relationship Id="rId28" Type="http://schemas.openxmlformats.org/officeDocument/2006/relationships/image" Target="../media/image4.emf"/><Relationship Id="rId10" Type="http://schemas.openxmlformats.org/officeDocument/2006/relationships/control" Target="../activeX/activeX8.xml"/><Relationship Id="rId19" Type="http://schemas.openxmlformats.org/officeDocument/2006/relationships/control" Target="../activeX/activeX17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7.xml"/><Relationship Id="rId14" Type="http://schemas.openxmlformats.org/officeDocument/2006/relationships/control" Target="../activeX/activeX12.xml"/><Relationship Id="rId22" Type="http://schemas.openxmlformats.org/officeDocument/2006/relationships/control" Target="../activeX/activeX20.xml"/><Relationship Id="rId27" Type="http://schemas.openxmlformats.org/officeDocument/2006/relationships/control" Target="../activeX/activeX2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control" Target="../activeX/activeX2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2:E35"/>
  <sheetViews>
    <sheetView workbookViewId="0"/>
  </sheetViews>
  <sheetFormatPr baseColWidth="10" defaultColWidth="11.42578125" defaultRowHeight="12.75"/>
  <cols>
    <col min="1" max="1" width="3.7109375" style="2" customWidth="1"/>
    <col min="2" max="2" width="80.7109375" style="2" customWidth="1"/>
    <col min="3" max="3" width="1.7109375" style="2" customWidth="1"/>
    <col min="4" max="4" width="3.7109375" style="2" customWidth="1"/>
    <col min="5" max="5" width="80.7109375" style="2" customWidth="1"/>
    <col min="6" max="16384" width="11.42578125" style="2"/>
  </cols>
  <sheetData>
    <row r="2" spans="1:5" ht="21" customHeight="1">
      <c r="A2" s="3" t="s">
        <v>127</v>
      </c>
      <c r="D2" s="3" t="s">
        <v>587</v>
      </c>
    </row>
    <row r="3" spans="1:5" ht="25.5">
      <c r="B3" s="219" t="s">
        <v>585</v>
      </c>
      <c r="E3" s="4" t="s">
        <v>588</v>
      </c>
    </row>
    <row r="4" spans="1:5">
      <c r="B4" s="4" t="s">
        <v>128</v>
      </c>
      <c r="E4" s="4" t="s">
        <v>589</v>
      </c>
    </row>
    <row r="5" spans="1:5" ht="25.5">
      <c r="B5" s="219" t="s">
        <v>586</v>
      </c>
      <c r="E5" s="4" t="s">
        <v>590</v>
      </c>
    </row>
    <row r="6" spans="1:5">
      <c r="B6" s="4"/>
      <c r="E6" s="4"/>
    </row>
    <row r="7" spans="1:5" ht="21" customHeight="1">
      <c r="A7" s="3" t="s">
        <v>124</v>
      </c>
      <c r="B7" s="4"/>
      <c r="D7" s="3" t="s">
        <v>591</v>
      </c>
      <c r="E7" s="4"/>
    </row>
    <row r="8" spans="1:5">
      <c r="B8" s="4" t="s">
        <v>125</v>
      </c>
      <c r="E8" s="4" t="s">
        <v>592</v>
      </c>
    </row>
    <row r="9" spans="1:5">
      <c r="B9" s="4" t="s">
        <v>126</v>
      </c>
      <c r="E9" s="4" t="s">
        <v>593</v>
      </c>
    </row>
    <row r="10" spans="1:5">
      <c r="B10" s="4"/>
      <c r="E10" s="4"/>
    </row>
    <row r="11" spans="1:5" ht="21" customHeight="1">
      <c r="A11" s="3" t="s">
        <v>211</v>
      </c>
      <c r="B11" s="4"/>
      <c r="D11" s="3" t="s">
        <v>594</v>
      </c>
      <c r="E11" s="4"/>
    </row>
    <row r="12" spans="1:5" ht="25.5">
      <c r="B12" s="4" t="s">
        <v>218</v>
      </c>
      <c r="E12" s="4" t="s">
        <v>595</v>
      </c>
    </row>
    <row r="13" spans="1:5">
      <c r="B13" s="4" t="s">
        <v>219</v>
      </c>
      <c r="E13" s="4" t="s">
        <v>596</v>
      </c>
    </row>
    <row r="14" spans="1:5">
      <c r="B14" s="4" t="s">
        <v>223</v>
      </c>
      <c r="E14" s="4"/>
    </row>
    <row r="15" spans="1:5">
      <c r="B15" s="4" t="s">
        <v>224</v>
      </c>
      <c r="E15" s="4"/>
    </row>
    <row r="16" spans="1:5">
      <c r="B16" s="4" t="s">
        <v>220</v>
      </c>
      <c r="E16" s="4"/>
    </row>
    <row r="17" spans="1:5">
      <c r="B17" s="4" t="s">
        <v>221</v>
      </c>
      <c r="E17" s="4"/>
    </row>
    <row r="18" spans="1:5">
      <c r="B18" s="4"/>
      <c r="E18" s="4"/>
    </row>
    <row r="19" spans="1:5" ht="21" customHeight="1">
      <c r="A19" s="3" t="s">
        <v>210</v>
      </c>
      <c r="B19" s="4"/>
      <c r="D19" s="3" t="s">
        <v>597</v>
      </c>
      <c r="E19" s="4"/>
    </row>
    <row r="20" spans="1:5" ht="25.5">
      <c r="B20" s="219" t="s">
        <v>599</v>
      </c>
      <c r="E20" s="219" t="s">
        <v>600</v>
      </c>
    </row>
    <row r="21" spans="1:5" ht="25.5">
      <c r="B21" s="219" t="s">
        <v>601</v>
      </c>
      <c r="E21" s="4" t="s">
        <v>598</v>
      </c>
    </row>
    <row r="22" spans="1:5">
      <c r="B22" s="4"/>
      <c r="E22" s="4"/>
    </row>
    <row r="23" spans="1:5" ht="21" customHeight="1">
      <c r="A23" s="3" t="s">
        <v>209</v>
      </c>
      <c r="B23" s="4"/>
      <c r="E23" s="4"/>
    </row>
    <row r="24" spans="1:5" ht="25.5">
      <c r="B24" s="219" t="s">
        <v>602</v>
      </c>
      <c r="E24" s="4"/>
    </row>
    <row r="25" spans="1:5">
      <c r="B25" s="4"/>
      <c r="E25" s="4"/>
    </row>
    <row r="26" spans="1:5" ht="21" customHeight="1">
      <c r="A26" s="3" t="s">
        <v>129</v>
      </c>
      <c r="B26" s="4"/>
      <c r="D26" s="3" t="s">
        <v>604</v>
      </c>
      <c r="E26" s="4"/>
    </row>
    <row r="27" spans="1:5">
      <c r="B27" s="4" t="s">
        <v>214</v>
      </c>
      <c r="E27" s="4" t="s">
        <v>605</v>
      </c>
    </row>
    <row r="28" spans="1:5">
      <c r="B28" s="219" t="s">
        <v>603</v>
      </c>
      <c r="E28" s="219" t="s">
        <v>609</v>
      </c>
    </row>
    <row r="29" spans="1:5">
      <c r="B29" s="4" t="s">
        <v>225</v>
      </c>
      <c r="E29" s="219" t="s">
        <v>610</v>
      </c>
    </row>
    <row r="30" spans="1:5">
      <c r="B30" s="220" t="s">
        <v>300</v>
      </c>
      <c r="E30" s="2" t="s">
        <v>606</v>
      </c>
    </row>
    <row r="31" spans="1:5">
      <c r="B31" s="220" t="s">
        <v>298</v>
      </c>
      <c r="E31" s="2" t="s">
        <v>607</v>
      </c>
    </row>
    <row r="32" spans="1:5">
      <c r="B32" s="219" t="s">
        <v>395</v>
      </c>
      <c r="E32" s="2" t="s">
        <v>395</v>
      </c>
    </row>
    <row r="33" spans="2:5">
      <c r="B33" s="219" t="s">
        <v>396</v>
      </c>
      <c r="E33" s="2" t="s">
        <v>608</v>
      </c>
    </row>
    <row r="34" spans="2:5">
      <c r="B34" s="221" t="s">
        <v>299</v>
      </c>
      <c r="E34" s="205" t="s">
        <v>299</v>
      </c>
    </row>
    <row r="35" spans="2:5">
      <c r="E35" s="4"/>
    </row>
  </sheetData>
  <sheetProtection sheet="1" objects="1" scenarios="1"/>
  <phoneticPr fontId="2" type="noConversion"/>
  <hyperlinks>
    <hyperlink ref="B34" r:id="rId1" xr:uid="{00000000-0004-0000-0000-000000000000}"/>
    <hyperlink ref="E34" r:id="rId2" xr:uid="{00000000-0004-0000-0000-000001000000}"/>
  </hyperlinks>
  <pageMargins left="0.78740157499999996" right="0.78740157499999996" top="0.984251969" bottom="0.984251969" header="0.4921259845" footer="0.4921259845"/>
  <pageSetup paperSize="9" orientation="portrait" horizontalDpi="300" verticalDpi="300" r:id="rId3"/>
  <headerFooter alignWithMargins="0">
    <oddHeader>&amp;L&amp;"Arial,Fett"&amp;14ARA-Betriebsdaten - Erklärungen</oddHeader>
    <oddFooter>&amp;LANU/A/o&amp;R&amp;8&amp;Z&amp;F, &amp;A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K48"/>
  <sheetViews>
    <sheetView tabSelected="1" workbookViewId="0"/>
  </sheetViews>
  <sheetFormatPr baseColWidth="10" defaultColWidth="11.42578125" defaultRowHeight="12.75"/>
  <cols>
    <col min="1" max="1" width="2.5703125" style="2" customWidth="1"/>
    <col min="2" max="2" width="55.7109375" style="2" customWidth="1"/>
    <col min="3" max="3" width="10.7109375" style="2" customWidth="1"/>
    <col min="4" max="4" width="12.7109375" style="2" customWidth="1"/>
    <col min="5" max="5" width="1.7109375" style="127" customWidth="1"/>
    <col min="6" max="6" width="50.7109375" style="2" customWidth="1"/>
    <col min="7" max="7" width="1.7109375" style="2" customWidth="1"/>
    <col min="8" max="9" width="12.7109375" style="2" hidden="1" customWidth="1"/>
    <col min="10" max="10" width="20.7109375" style="2" hidden="1" customWidth="1"/>
    <col min="11" max="11" width="1.7109375" style="2" hidden="1" customWidth="1"/>
    <col min="12" max="16384" width="11.42578125" style="2"/>
  </cols>
  <sheetData>
    <row r="1" spans="1:10" ht="18.75" thickBot="1">
      <c r="A1" s="1" t="str">
        <f>VLOOKUP(1,K_Texte,K_SpracheSpalte,FALSE)</f>
        <v>ARA-Betriebsdaten</v>
      </c>
      <c r="F1" s="207"/>
      <c r="H1" s="208" t="s">
        <v>385</v>
      </c>
      <c r="I1" s="212">
        <v>44364</v>
      </c>
      <c r="J1" s="208" t="s">
        <v>406</v>
      </c>
    </row>
    <row r="2" spans="1:10" ht="18.75" thickBot="1">
      <c r="A2" s="1" t="str">
        <f>VLOOKUP(2,K_Texte,K_SpracheSpalte,FALSE)</f>
        <v>Betriebsjahr</v>
      </c>
      <c r="D2" s="116">
        <v>2025</v>
      </c>
      <c r="F2" s="118"/>
      <c r="I2" s="222" t="b">
        <v>0</v>
      </c>
      <c r="J2" s="222">
        <f>IF(I2,3,2)</f>
        <v>2</v>
      </c>
    </row>
    <row r="3" spans="1:10" ht="14.25" customHeight="1" thickBot="1">
      <c r="F3" s="118" t="str">
        <f>VLOOKUP(3,K_Texte,K_SpracheSpalte,FALSE)</f>
        <v>Bemerkungen zu einzelnen Parametern</v>
      </c>
    </row>
    <row r="4" spans="1:10" ht="21" customHeight="1" thickBot="1">
      <c r="A4" s="6" t="str">
        <f>VLOOKUP(4,K_Texte,K_SpracheSpalte,FALSE)</f>
        <v>ARA Name</v>
      </c>
      <c r="C4" s="7"/>
      <c r="D4" s="83" t="str">
        <f>VLOOKUP($I$4,K_ARAListe,2,FALSE)</f>
        <v>bitte hier ARA wählen</v>
      </c>
      <c r="E4" s="117"/>
      <c r="F4" s="125"/>
      <c r="H4" s="2" t="s">
        <v>28</v>
      </c>
      <c r="I4" s="126">
        <v>0</v>
      </c>
      <c r="J4" s="222" t="str">
        <f>D4</f>
        <v>bitte hier ARA wählen</v>
      </c>
    </row>
    <row r="5" spans="1:10" ht="21" customHeight="1">
      <c r="A5" s="6" t="str">
        <f>VLOOKUP(5,K_Texte,K_SpracheSpalte,FALSE)</f>
        <v>ARA Nr.</v>
      </c>
      <c r="C5" s="7"/>
      <c r="D5" s="210">
        <f>VLOOKUP($I$4,K_ARAListe,3,FALSE)</f>
        <v>0</v>
      </c>
      <c r="F5" s="125"/>
      <c r="G5" s="3"/>
      <c r="H5" s="2" t="s">
        <v>77</v>
      </c>
    </row>
    <row r="6" spans="1:10" ht="14.25" customHeight="1">
      <c r="F6" s="117"/>
    </row>
    <row r="7" spans="1:10" ht="21" customHeight="1" thickBot="1">
      <c r="A7" s="5" t="str">
        <f>VLOOKUP(6,K_Texte,K_SpracheSpalte,FALSE)</f>
        <v>Abwassermenge</v>
      </c>
      <c r="F7" s="117"/>
    </row>
    <row r="8" spans="1:10" ht="14.25" customHeight="1" thickBot="1">
      <c r="B8" s="2" t="str">
        <f>VLOOKUP(7,K_Texte,K_SpracheSpalte,FALSE)</f>
        <v>Gesamte Abwassermenge</v>
      </c>
      <c r="C8" s="2" t="s">
        <v>5</v>
      </c>
      <c r="D8" s="144"/>
      <c r="F8" s="125"/>
      <c r="H8" s="2" t="s">
        <v>92</v>
      </c>
    </row>
    <row r="9" spans="1:10" ht="14.25" customHeight="1" thickBot="1">
      <c r="B9" s="2" t="str">
        <f>VLOOKUP(8,K_Texte,K_SpracheSpalte,FALSE)</f>
        <v>Biologisch gereinige Abwassermenge</v>
      </c>
      <c r="C9" s="2" t="s">
        <v>5</v>
      </c>
      <c r="D9" s="112"/>
      <c r="F9" s="125"/>
      <c r="H9" s="2" t="s">
        <v>93</v>
      </c>
    </row>
    <row r="10" spans="1:10" ht="14.25" customHeight="1">
      <c r="F10" s="117"/>
    </row>
    <row r="11" spans="1:10" ht="21" customHeight="1" thickBot="1">
      <c r="A11" s="5" t="str">
        <f>VLOOKUP(9,K_Texte,K_SpracheSpalte,FALSE)</f>
        <v>Klärschlammanfall (Eigenproduktion)</v>
      </c>
      <c r="F11" s="117"/>
    </row>
    <row r="12" spans="1:10" ht="14.25" customHeight="1" thickBot="1">
      <c r="B12" s="2" t="str">
        <f>VLOOKUP(10,K_Texte,K_SpracheSpalte,FALSE)</f>
        <v>Frischschlamm-Menge Total</v>
      </c>
      <c r="C12" s="2" t="s">
        <v>5</v>
      </c>
      <c r="D12" s="112"/>
      <c r="F12" s="125"/>
      <c r="H12" s="2" t="s">
        <v>79</v>
      </c>
    </row>
    <row r="13" spans="1:10" ht="14.25" customHeight="1" thickBot="1">
      <c r="B13" s="4" t="str">
        <f>VLOOKUP(11,K_Texte,K_SpracheSpalte,FALSE)</f>
        <v>Trockensubstanz Frischschlamm (1 Kommastelle)</v>
      </c>
      <c r="C13" s="2" t="str">
        <f>VLOOKUP(38,K_Texte,K_SpracheSpalte,FALSE)</f>
        <v>t TS/a</v>
      </c>
      <c r="D13" s="113"/>
      <c r="F13" s="125"/>
      <c r="H13" s="2" t="s">
        <v>78</v>
      </c>
    </row>
    <row r="14" spans="1:10" ht="14.25" customHeight="1" thickBot="1">
      <c r="B14" s="4" t="str">
        <f>VLOOKUP(12,K_Texte,K_SpracheSpalte,FALSE)</f>
        <v>Stabilisierte Schlamm-Menge Total (flüssig)</v>
      </c>
      <c r="C14" s="2" t="s">
        <v>5</v>
      </c>
      <c r="D14" s="112"/>
      <c r="F14" s="125"/>
      <c r="H14" s="2" t="s">
        <v>80</v>
      </c>
    </row>
    <row r="15" spans="1:10" ht="14.25" customHeight="1" thickBot="1">
      <c r="B15" s="4" t="str">
        <f>VLOOKUP(13,K_Texte,K_SpracheSpalte,FALSE)</f>
        <v>Trockensubstanz stabilisierter Schlamm (1 Kommastelle)</v>
      </c>
      <c r="C15" s="2" t="str">
        <f>VLOOKUP(38,K_Texte,K_SpracheSpalte,FALSE)</f>
        <v>t TS/a</v>
      </c>
      <c r="D15" s="113"/>
      <c r="F15" s="125"/>
      <c r="H15" s="2" t="s">
        <v>81</v>
      </c>
    </row>
    <row r="16" spans="1:10" ht="14.25" customHeight="1">
      <c r="F16" s="117"/>
    </row>
    <row r="17" spans="1:8" ht="21" customHeight="1" thickBot="1">
      <c r="A17" s="5" t="str">
        <f>VLOOKUP(14,K_Texte,K_SpracheSpalte,FALSE)</f>
        <v>Energie</v>
      </c>
      <c r="C17" s="4"/>
      <c r="F17" s="117"/>
    </row>
    <row r="18" spans="1:8" ht="14.25" customHeight="1" thickBot="1">
      <c r="B18" s="2" t="str">
        <f>VLOOKUP(15,K_Texte,K_SpracheSpalte,FALSE)</f>
        <v>Stromerzeugung durch Gasmotor</v>
      </c>
      <c r="C18" s="2" t="s">
        <v>10</v>
      </c>
      <c r="D18" s="112"/>
      <c r="F18" s="125"/>
      <c r="H18" s="2" t="s">
        <v>82</v>
      </c>
    </row>
    <row r="19" spans="1:8" ht="14.25" customHeight="1" thickBot="1">
      <c r="B19" s="4" t="str">
        <f>VLOOKUP(16,K_Texte,K_SpracheSpalte,FALSE)</f>
        <v>Strombezug vom Elektrizitätswerk</v>
      </c>
      <c r="C19" s="2" t="s">
        <v>10</v>
      </c>
      <c r="D19" s="112"/>
      <c r="F19" s="125"/>
      <c r="H19" s="2" t="s">
        <v>83</v>
      </c>
    </row>
    <row r="20" spans="1:8" ht="14.25" customHeight="1" thickBot="1">
      <c r="B20" s="2" t="str">
        <f>VLOOKUP(17,K_Texte,K_SpracheSpalte,FALSE)</f>
        <v>Stromverkauf an (Abnehmer)</v>
      </c>
      <c r="C20" s="2" t="str">
        <f>VLOOKUP(37,K_Texte,K_SpracheSpalte,FALSE)</f>
        <v>Name</v>
      </c>
      <c r="D20" s="217"/>
      <c r="F20" s="125"/>
    </row>
    <row r="21" spans="1:8" ht="14.25" customHeight="1" thickBot="1">
      <c r="B21" s="2" t="str">
        <f>VLOOKUP(18,K_Texte,K_SpracheSpalte,FALSE)</f>
        <v xml:space="preserve">                         Menge</v>
      </c>
      <c r="C21" s="2" t="s">
        <v>10</v>
      </c>
      <c r="D21" s="112"/>
      <c r="F21" s="125"/>
      <c r="H21" s="2" t="s">
        <v>84</v>
      </c>
    </row>
    <row r="22" spans="1:8" ht="14.25" customHeight="1" thickBot="1">
      <c r="B22" s="4" t="str">
        <f>VLOOKUP(19,K_Texte,K_SpracheSpalte,FALSE)</f>
        <v>Stromverbrauch biologische Stufe</v>
      </c>
      <c r="C22" s="2" t="s">
        <v>10</v>
      </c>
      <c r="D22" s="112"/>
      <c r="F22" s="125"/>
      <c r="H22" s="2" t="s">
        <v>85</v>
      </c>
    </row>
    <row r="23" spans="1:8" ht="14.25" customHeight="1" thickBot="1">
      <c r="B23" s="2" t="str">
        <f>VLOOKUP(20,K_Texte,K_SpracheSpalte,FALSE)</f>
        <v>Stromverbrauch für Abwasserpumpwerk auf ARA</v>
      </c>
      <c r="C23" s="2" t="s">
        <v>10</v>
      </c>
      <c r="D23" s="112"/>
      <c r="F23" s="125"/>
      <c r="H23" s="2" t="s">
        <v>86</v>
      </c>
    </row>
    <row r="24" spans="1:8" ht="14.25" customHeight="1" thickBot="1">
      <c r="B24" s="4" t="str">
        <f>VLOOKUP(21,K_Texte,K_SpracheSpalte,FALSE)</f>
        <v>Stromverbrauch der ARA Total</v>
      </c>
      <c r="C24" s="2" t="s">
        <v>10</v>
      </c>
      <c r="D24" s="112"/>
      <c r="F24" s="125"/>
      <c r="H24" s="2" t="s">
        <v>87</v>
      </c>
    </row>
    <row r="25" spans="1:8" ht="14.25" customHeight="1" thickBot="1">
      <c r="F25" s="129"/>
    </row>
    <row r="26" spans="1:8" ht="14.25" customHeight="1" thickBot="1">
      <c r="B26" s="4" t="str">
        <f>VLOOKUP(22,K_Texte,K_SpracheSpalte,FALSE)</f>
        <v>Faulgaserzeugung Total</v>
      </c>
      <c r="C26" s="2" t="s">
        <v>5</v>
      </c>
      <c r="D26" s="112"/>
      <c r="F26" s="211"/>
      <c r="H26" s="2" t="s">
        <v>88</v>
      </c>
    </row>
    <row r="27" spans="1:8" ht="14.25" customHeight="1" thickBot="1">
      <c r="B27" s="2" t="str">
        <f>VLOOKUP(23,K_Texte,K_SpracheSpalte,FALSE)</f>
        <v>Faulgasverbrauch Heizung</v>
      </c>
      <c r="C27" s="2" t="s">
        <v>5</v>
      </c>
      <c r="D27" s="112"/>
      <c r="F27" s="211"/>
      <c r="H27" s="2" t="s">
        <v>89</v>
      </c>
    </row>
    <row r="28" spans="1:8" ht="14.25" customHeight="1" thickBot="1">
      <c r="B28" s="4" t="str">
        <f>VLOOKUP(24,K_Texte,K_SpracheSpalte,FALSE)</f>
        <v>Faulgasverbrauch Gasmotor</v>
      </c>
      <c r="C28" s="2" t="s">
        <v>5</v>
      </c>
      <c r="D28" s="112"/>
      <c r="F28" s="211"/>
      <c r="H28" s="2" t="s">
        <v>90</v>
      </c>
    </row>
    <row r="29" spans="1:8" ht="14.25" customHeight="1" thickBot="1">
      <c r="B29" s="2" t="str">
        <f>VLOOKUP(25,K_Texte,K_SpracheSpalte,FALSE)</f>
        <v>Abfackelung</v>
      </c>
      <c r="C29" s="2" t="s">
        <v>5</v>
      </c>
      <c r="D29" s="112"/>
      <c r="F29" s="211"/>
      <c r="H29" s="2" t="s">
        <v>91</v>
      </c>
    </row>
    <row r="30" spans="1:8" ht="14.25" customHeight="1" thickBot="1">
      <c r="B30" s="4" t="str">
        <f>VLOOKUP(26,K_Texte,K_SpracheSpalte,FALSE)</f>
        <v>Faulgasverkauf an (Abnehmer)</v>
      </c>
      <c r="C30" s="2" t="str">
        <f>VLOOKUP(37,K_Texte,K_SpracheSpalte,FALSE)</f>
        <v>Name</v>
      </c>
      <c r="D30" s="217"/>
      <c r="F30" s="125"/>
    </row>
    <row r="31" spans="1:8" ht="14.25" customHeight="1" thickBot="1">
      <c r="B31" s="4" t="str">
        <f>VLOOKUP(27,K_Texte,K_SpracheSpalte,FALSE)</f>
        <v xml:space="preserve">                            Menge</v>
      </c>
      <c r="C31" s="2" t="s">
        <v>5</v>
      </c>
      <c r="D31" s="112"/>
      <c r="F31" s="211"/>
      <c r="H31" s="2" t="s">
        <v>94</v>
      </c>
    </row>
    <row r="32" spans="1:8" ht="14.25" customHeight="1" thickBot="1">
      <c r="B32" s="4" t="str">
        <f>VLOOKUP(28,K_Texte,K_SpracheSpalte,FALSE)</f>
        <v>Faulgasverwertung Total (Erzeugung abzügl. Abfackelung)</v>
      </c>
      <c r="C32" s="2" t="s">
        <v>5</v>
      </c>
      <c r="D32" s="112"/>
      <c r="F32" s="125"/>
      <c r="H32" s="2" t="s">
        <v>97</v>
      </c>
    </row>
    <row r="33" spans="1:9" ht="14.25" customHeight="1" thickBot="1">
      <c r="D33" s="208"/>
      <c r="F33" s="129"/>
    </row>
    <row r="34" spans="1:9" ht="14.25" customHeight="1" thickBot="1">
      <c r="B34" s="4" t="str">
        <f>VLOOKUP(29,K_Texte,K_SpracheSpalte,FALSE)</f>
        <v>Ergdasverbrauch Total</v>
      </c>
      <c r="C34" s="2" t="s">
        <v>5</v>
      </c>
      <c r="D34" s="112"/>
      <c r="F34" s="125"/>
      <c r="H34" s="2" t="s">
        <v>95</v>
      </c>
    </row>
    <row r="35" spans="1:9" ht="14.25" customHeight="1" thickBot="1">
      <c r="B35" s="4" t="str">
        <f>VLOOKUP(30,K_Texte,K_SpracheSpalte,FALSE)</f>
        <v>Heizölverbrauch Total</v>
      </c>
      <c r="C35" s="2" t="s">
        <v>22</v>
      </c>
      <c r="D35" s="112"/>
      <c r="F35" s="125"/>
      <c r="H35" s="2" t="s">
        <v>96</v>
      </c>
    </row>
    <row r="36" spans="1:9">
      <c r="F36" s="117"/>
    </row>
    <row r="37" spans="1:9" ht="21" customHeight="1">
      <c r="A37" s="5" t="str">
        <f>VLOOKUP(31,K_Texte,K_SpracheSpalte,FALSE)</f>
        <v>Bemerkungen allgemein</v>
      </c>
      <c r="F37" s="117"/>
      <c r="H37" s="208" t="s">
        <v>445</v>
      </c>
    </row>
    <row r="38" spans="1:9">
      <c r="B38" s="141"/>
      <c r="C38" s="142"/>
      <c r="D38" s="143"/>
      <c r="F38" s="117"/>
      <c r="H38" s="214">
        <v>-100</v>
      </c>
      <c r="I38" s="208" t="s">
        <v>401</v>
      </c>
    </row>
    <row r="39" spans="1:9">
      <c r="B39" s="141"/>
      <c r="C39" s="142"/>
      <c r="D39" s="143"/>
      <c r="F39" s="117"/>
      <c r="H39" s="215">
        <v>99999999</v>
      </c>
      <c r="I39" s="208" t="s">
        <v>402</v>
      </c>
    </row>
    <row r="40" spans="1:9">
      <c r="B40" s="141"/>
      <c r="C40" s="142"/>
      <c r="D40" s="143"/>
      <c r="F40" s="117"/>
    </row>
    <row r="41" spans="1:9">
      <c r="B41" s="141"/>
      <c r="C41" s="142"/>
      <c r="D41" s="143"/>
      <c r="F41" s="117"/>
    </row>
    <row r="42" spans="1:9">
      <c r="B42" s="141"/>
      <c r="C42" s="142"/>
      <c r="D42" s="143"/>
      <c r="F42" s="117"/>
    </row>
    <row r="43" spans="1:9">
      <c r="B43" s="141"/>
      <c r="C43" s="142"/>
      <c r="D43" s="143"/>
      <c r="F43" s="117"/>
    </row>
    <row r="44" spans="1:9">
      <c r="B44" s="141"/>
      <c r="C44" s="142"/>
      <c r="D44" s="143"/>
      <c r="F44" s="117"/>
    </row>
    <row r="45" spans="1:9">
      <c r="B45" s="141"/>
      <c r="C45" s="142"/>
      <c r="D45" s="143"/>
      <c r="F45" s="117"/>
    </row>
    <row r="46" spans="1:9">
      <c r="B46" s="141"/>
      <c r="C46" s="142"/>
      <c r="D46" s="143"/>
      <c r="F46" s="117"/>
    </row>
    <row r="47" spans="1:9">
      <c r="B47" s="141"/>
      <c r="C47" s="142"/>
      <c r="D47" s="143"/>
      <c r="F47" s="117"/>
    </row>
    <row r="48" spans="1:9">
      <c r="B48" s="141"/>
      <c r="C48" s="142"/>
      <c r="D48" s="143"/>
      <c r="F48" s="117"/>
    </row>
  </sheetData>
  <sheetProtection sheet="1" objects="1" scenarios="1"/>
  <phoneticPr fontId="2" type="noConversion"/>
  <dataValidations disablePrompts="1" count="1">
    <dataValidation type="decimal" errorStyle="information" allowBlank="1" showErrorMessage="1" errorTitle="ungültige Eingabe" error="Geben Sie in dieses Feld bitte eine Zahl ein. Für Kommentare und Bemerkungen verwenden Sie bitte die Spalte F." sqref="D34:D35 D31:D32 D26:D29 D21:D24 D18:D19 D12:D15 D8:D9" xr:uid="{00000000-0002-0000-0100-000000000000}">
      <formula1>$H$38</formula1>
      <formula2>$H$39</formula2>
    </dataValidation>
  </dataValidations>
  <pageMargins left="0.78740157480314965" right="0.78740157480314965" top="0.78740157480314965" bottom="0.78740157480314965" header="0.39370078740157483" footer="0.39370078740157483"/>
  <pageSetup paperSize="9" orientation="portrait" horizontalDpi="300" verticalDpi="300" r:id="rId1"/>
  <headerFooter alignWithMargins="0">
    <oddFooter>&amp;LANU/A/Ho&amp;R&amp;8&amp;Z&amp;F, &amp;A
&amp;D</oddFooter>
  </headerFooter>
  <drawing r:id="rId2"/>
  <legacyDrawing r:id="rId3"/>
  <controls>
    <mc:AlternateContent xmlns:mc="http://schemas.openxmlformats.org/markup-compatibility/2006">
      <mc:Choice Requires="x14">
        <control shapeId="1036" r:id="rId4" name="ARAWahl">
          <controlPr defaultSize="0" print="0" autoLine="0" autoPict="0" linkedCell="$I$4" listFillRange="ARAListe!$A$2:$D$156" r:id="rId5">
            <anchor moveWithCells="1">
              <from>
                <xdr:col>1</xdr:col>
                <xdr:colOff>1447800</xdr:colOff>
                <xdr:row>3</xdr:row>
                <xdr:rowOff>0</xdr:rowOff>
              </from>
              <to>
                <xdr:col>4</xdr:col>
                <xdr:colOff>19050</xdr:colOff>
                <xdr:row>4</xdr:row>
                <xdr:rowOff>19050</xdr:rowOff>
              </to>
            </anchor>
          </controlPr>
        </control>
      </mc:Choice>
      <mc:Fallback>
        <control shapeId="1036" r:id="rId4" name="ARAWahl"/>
      </mc:Fallback>
    </mc:AlternateContent>
    <mc:AlternateContent xmlns:mc="http://schemas.openxmlformats.org/markup-compatibility/2006">
      <mc:Choice Requires="x14">
        <control shapeId="1037" r:id="rId6" name="SprachWahl">
          <controlPr defaultSize="0" print="0" autoLine="0" linkedCell="$I$2" r:id="rId7">
            <anchor moveWithCells="1">
              <from>
                <xdr:col>5</xdr:col>
                <xdr:colOff>28575</xdr:colOff>
                <xdr:row>0</xdr:row>
                <xdr:rowOff>47625</xdr:rowOff>
              </from>
              <to>
                <xdr:col>5</xdr:col>
                <xdr:colOff>3352800</xdr:colOff>
                <xdr:row>1</xdr:row>
                <xdr:rowOff>190500</xdr:rowOff>
              </to>
            </anchor>
          </controlPr>
        </control>
      </mc:Choice>
      <mc:Fallback>
        <control shapeId="1037" r:id="rId6" name="SprachWahl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O165"/>
  <sheetViews>
    <sheetView zoomScaleNormal="100" workbookViewId="0"/>
  </sheetViews>
  <sheetFormatPr baseColWidth="10" defaultColWidth="11.42578125" defaultRowHeight="12.75"/>
  <cols>
    <col min="1" max="1" width="5.7109375" style="7" customWidth="1"/>
    <col min="2" max="2" width="15.7109375" style="7" customWidth="1"/>
    <col min="3" max="3" width="12.7109375" style="7" customWidth="1"/>
    <col min="4" max="6" width="11.7109375" style="7" customWidth="1"/>
    <col min="7" max="7" width="18.7109375" style="7" customWidth="1"/>
    <col min="8" max="8" width="1.7109375" style="104" customWidth="1"/>
    <col min="9" max="9" width="10.7109375" style="90" hidden="1" customWidth="1"/>
    <col min="10" max="11" width="10.7109375" style="7" hidden="1" customWidth="1"/>
    <col min="12" max="12" width="1.7109375" style="7" hidden="1" customWidth="1"/>
    <col min="13" max="13" width="50.7109375" style="103" customWidth="1"/>
    <col min="14" max="16384" width="11.42578125" style="7"/>
  </cols>
  <sheetData>
    <row r="1" spans="1:13" ht="18">
      <c r="A1" s="14" t="str">
        <f>VLOOKUP(50,K_Texte,K_SpracheSpalte,FALSE) &amp;" " &amp; K_Betriebsjahr</f>
        <v>Klärschlammanfall und Entsorgung 2025</v>
      </c>
      <c r="L1"/>
      <c r="M1" s="163"/>
    </row>
    <row r="2" spans="1:13" ht="12.75" customHeight="1" thickBot="1">
      <c r="A2" s="14"/>
      <c r="L2"/>
    </row>
    <row r="3" spans="1:13" ht="18" customHeight="1" thickBot="1">
      <c r="A3" s="6" t="str">
        <f>VLOOKUP(51,K_Texte,K_SpracheSpalte,FALSE)</f>
        <v>ARA-Name</v>
      </c>
      <c r="C3" s="82" t="str">
        <f>K_ARAName</f>
        <v>bitte hier ARA wählen</v>
      </c>
      <c r="D3" s="186"/>
      <c r="E3" s="186"/>
      <c r="F3" s="191" t="str">
        <f>VLOOKUP(52,K_Texte,K_SpracheSpalte,FALSE)</f>
        <v xml:space="preserve">ARA Nr. </v>
      </c>
      <c r="G3" s="192">
        <f>K_ARANr</f>
        <v>0</v>
      </c>
      <c r="H3" s="102"/>
      <c r="I3" s="94"/>
      <c r="J3" s="16"/>
      <c r="L3"/>
      <c r="M3" s="102"/>
    </row>
    <row r="4" spans="1:13" ht="18" customHeight="1">
      <c r="H4" s="106"/>
      <c r="I4" s="92"/>
      <c r="L4"/>
      <c r="M4" s="102"/>
    </row>
    <row r="5" spans="1:13" ht="18" customHeight="1">
      <c r="A5" s="6" t="str">
        <f>VLOOKUP(53,K_Texte,K_SpracheSpalte,FALSE)</f>
        <v>Klärschlammanfall</v>
      </c>
      <c r="B5" s="16"/>
      <c r="C5" s="16"/>
      <c r="D5" s="16"/>
      <c r="E5" s="16"/>
      <c r="F5" s="16"/>
      <c r="G5" s="16"/>
      <c r="H5" s="105"/>
      <c r="I5" s="91"/>
      <c r="L5"/>
      <c r="M5" s="166" t="str">
        <f>VLOOKUP(68,K_Texte,K_SpracheSpalte,FALSE)</f>
        <v>Bemerkungen zu einzelnen Parametern</v>
      </c>
    </row>
    <row r="6" spans="1:13" ht="6" customHeight="1" thickBot="1">
      <c r="A6" s="16"/>
      <c r="B6" s="16"/>
      <c r="C6" s="16"/>
      <c r="D6" s="16"/>
      <c r="E6" s="16"/>
      <c r="F6" s="16"/>
      <c r="G6" s="16"/>
      <c r="H6" s="105"/>
      <c r="I6" s="91"/>
      <c r="L6"/>
      <c r="M6" s="102"/>
    </row>
    <row r="7" spans="1:13" ht="18" customHeight="1">
      <c r="A7" s="181" t="str">
        <f>VLOOKUP(54,K_Texte,K_SpracheSpalte,FALSE)</f>
        <v>Entsorgungswege</v>
      </c>
      <c r="B7" s="182"/>
      <c r="C7" s="183" t="str">
        <f>VLOOKUP(55,K_Texte,K_SpracheSpalte,FALSE)</f>
        <v>Konsistenz</v>
      </c>
      <c r="D7" s="183" t="str">
        <f>VLOOKUP(56,K_Texte,K_SpracheSpalte,FALSE)</f>
        <v>Menge</v>
      </c>
      <c r="E7" s="228" t="str">
        <f>VLOOKUP(57,K_Texte,K_SpracheSpalte,FALSE)</f>
        <v>Trockensubstanz TS</v>
      </c>
      <c r="F7" s="228"/>
      <c r="G7" s="184" t="str">
        <f>VLOOKUP(58,K_Texte,K_SpracheSpalte,FALSE)</f>
        <v>Bemerkungen</v>
      </c>
      <c r="H7" s="107"/>
      <c r="I7" s="89"/>
      <c r="L7"/>
      <c r="M7" s="200"/>
    </row>
    <row r="8" spans="1:13" ht="18" customHeight="1" thickBot="1">
      <c r="A8" s="34"/>
      <c r="B8" s="21"/>
      <c r="C8" s="35"/>
      <c r="D8" s="36" t="s">
        <v>212</v>
      </c>
      <c r="E8" s="36" t="s">
        <v>117</v>
      </c>
      <c r="F8" s="37" t="str">
        <f>VLOOKUP(65,K_Texte,K_SpracheSpalte,FALSE)</f>
        <v>t TS</v>
      </c>
      <c r="G8" s="38"/>
      <c r="H8" s="93"/>
      <c r="I8" s="94"/>
      <c r="L8"/>
      <c r="M8" s="200"/>
    </row>
    <row r="9" spans="1:13" ht="6" customHeight="1" thickBot="1">
      <c r="A9" s="42"/>
      <c r="B9" s="27"/>
      <c r="C9" s="43"/>
      <c r="D9" s="44"/>
      <c r="E9" s="44"/>
      <c r="F9" s="44"/>
      <c r="G9" s="29"/>
      <c r="H9" s="93"/>
      <c r="I9" s="94"/>
      <c r="L9"/>
      <c r="M9" s="102"/>
    </row>
    <row r="10" spans="1:13" ht="18" customHeight="1" thickBot="1">
      <c r="A10" s="24" t="str">
        <f>VLOOKUP(59,K_Texte,K_SpracheSpalte,FALSE)</f>
        <v>Zur Trocknung (TRAC ARA Chur oder ARA Trun)</v>
      </c>
      <c r="B10" s="25"/>
      <c r="C10" s="25"/>
      <c r="D10" s="25"/>
      <c r="E10" s="25"/>
      <c r="F10" s="25"/>
      <c r="G10" s="199" t="str">
        <f>VLOOKUP(60,K_Texte,K_SpracheSpalte,FALSE)</f>
        <v>Ort/TRA angeben</v>
      </c>
      <c r="H10" s="102"/>
      <c r="I10" s="41"/>
      <c r="L10"/>
      <c r="M10" s="200"/>
    </row>
    <row r="11" spans="1:13" ht="18" customHeight="1" thickBot="1">
      <c r="A11" s="19"/>
      <c r="B11" s="22"/>
      <c r="C11" s="99" t="str">
        <f>VLOOKUP(62,K_Texte,K_SpracheSpalte,FALSE)</f>
        <v xml:space="preserve">     flüssig</v>
      </c>
      <c r="D11" s="33"/>
      <c r="E11" s="32"/>
      <c r="F11" s="128" t="str">
        <f>IF(D11*E11&gt;0, D11*E11*0.001, "")</f>
        <v/>
      </c>
      <c r="G11" s="87" t="str">
        <f>VLOOKUP(66,K_Texte,K_SpracheSpalte,FALSE)</f>
        <v xml:space="preserve">    TRAC Chur/Holcim</v>
      </c>
      <c r="H11" s="109"/>
      <c r="I11" s="96"/>
      <c r="J11" s="15" t="b">
        <v>0</v>
      </c>
      <c r="K11" s="15" t="b">
        <v>0</v>
      </c>
      <c r="L11"/>
      <c r="M11" s="200"/>
    </row>
    <row r="12" spans="1:13" ht="18" customHeight="1" thickBot="1">
      <c r="A12" s="19"/>
      <c r="B12" s="23"/>
      <c r="C12" s="100" t="str">
        <f>VLOOKUP(63,K_Texte,K_SpracheSpalte,FALSE)</f>
        <v xml:space="preserve">     entwässert</v>
      </c>
      <c r="D12" s="33"/>
      <c r="E12" s="32"/>
      <c r="F12" s="128" t="str">
        <f>IF(D12*E12&gt;0, D12*E12*0.001, "")</f>
        <v/>
      </c>
      <c r="G12" s="88" t="str">
        <f>VLOOKUP(67,K_Texte,K_SpracheSpalte,FALSE)</f>
        <v xml:space="preserve">    TRA Cadi/Holcim</v>
      </c>
      <c r="H12" s="109"/>
      <c r="I12" s="96"/>
      <c r="J12" s="15" t="b">
        <v>0</v>
      </c>
      <c r="K12" s="15" t="b">
        <v>0</v>
      </c>
      <c r="L12"/>
      <c r="M12" s="200"/>
    </row>
    <row r="13" spans="1:13" ht="18" customHeight="1" thickBot="1">
      <c r="A13" s="19"/>
      <c r="B13" s="23"/>
      <c r="C13" s="101" t="str">
        <f>VLOOKUP(64,K_Texte,K_SpracheSpalte,FALSE)</f>
        <v xml:space="preserve">     getrocknet</v>
      </c>
      <c r="D13" s="33"/>
      <c r="E13" s="32"/>
      <c r="F13" s="128" t="str">
        <f>IF(D13*E13&gt;0, D13*E13*0.001, "")</f>
        <v/>
      </c>
      <c r="G13" s="206"/>
      <c r="H13" s="109"/>
      <c r="I13" s="96"/>
      <c r="J13" s="15" t="b">
        <v>0</v>
      </c>
      <c r="K13" s="165"/>
      <c r="L13"/>
      <c r="M13" s="200"/>
    </row>
    <row r="14" spans="1:13" ht="18" customHeight="1" thickBot="1">
      <c r="A14" s="20"/>
      <c r="B14" s="21"/>
      <c r="C14" s="30"/>
      <c r="D14" s="157">
        <f>IF(COUNT(D11:D13)&gt;0, SUM(D11:D13), 0)</f>
        <v>0</v>
      </c>
      <c r="E14" s="31" t="str">
        <f>VLOOKUP(61,K_Texte,K_SpracheSpalte,FALSE)</f>
        <v>Total</v>
      </c>
      <c r="F14" s="158">
        <f>IF(COUNT(F11:F13)&gt;0, SUM(F11:F13), 0)</f>
        <v>0</v>
      </c>
      <c r="G14" s="156"/>
      <c r="H14" s="109"/>
      <c r="I14" s="96"/>
      <c r="L14"/>
      <c r="M14" s="200"/>
    </row>
    <row r="15" spans="1:13" ht="6" customHeight="1" thickBot="1">
      <c r="L15"/>
      <c r="M15" s="102"/>
    </row>
    <row r="16" spans="1:13" ht="18" customHeight="1" thickBot="1">
      <c r="A16" s="159" t="str">
        <f>VLOOKUP(70,K_Texte,K_SpracheSpalte,FALSE)</f>
        <v>Zur Verbrennung in Kehrichtverbrennungsanlage (KVA)</v>
      </c>
      <c r="B16" s="160"/>
      <c r="C16" s="160"/>
      <c r="D16" s="160"/>
      <c r="E16" s="160"/>
      <c r="F16" s="160"/>
      <c r="G16" s="199" t="str">
        <f>VLOOKUP(71,K_Texte,K_SpracheSpalte,FALSE)</f>
        <v>Ort/KVA angeben</v>
      </c>
      <c r="L16"/>
      <c r="M16" s="201"/>
    </row>
    <row r="17" spans="1:13" ht="18" customHeight="1" thickBot="1">
      <c r="A17" s="161"/>
      <c r="B17" s="162"/>
      <c r="C17" s="99" t="str">
        <f>VLOOKUP(62,K_Texte,K_SpracheSpalte,FALSE)</f>
        <v xml:space="preserve">     flüssig</v>
      </c>
      <c r="D17" s="33"/>
      <c r="E17" s="32"/>
      <c r="F17" s="128" t="str">
        <f>IF(D17*E17&gt;0, D17*E17*0.001, "")</f>
        <v/>
      </c>
      <c r="G17" s="164"/>
      <c r="J17" s="154" t="b">
        <v>0</v>
      </c>
      <c r="L17"/>
      <c r="M17" s="201"/>
    </row>
    <row r="18" spans="1:13" ht="18" customHeight="1" thickBot="1">
      <c r="A18" s="161"/>
      <c r="B18" s="163"/>
      <c r="C18" s="100" t="str">
        <f>VLOOKUP(63,K_Texte,K_SpracheSpalte,FALSE)</f>
        <v xml:space="preserve">     entwässert</v>
      </c>
      <c r="D18" s="33"/>
      <c r="E18" s="32"/>
      <c r="F18" s="128" t="str">
        <f>IF(D18*E18&gt;0, D18*E18*0.001, "")</f>
        <v/>
      </c>
      <c r="G18" s="164"/>
      <c r="J18" s="154" t="b">
        <v>0</v>
      </c>
      <c r="L18"/>
      <c r="M18" s="201"/>
    </row>
    <row r="19" spans="1:13" ht="18" customHeight="1" thickBot="1">
      <c r="A19" s="161"/>
      <c r="B19" s="163"/>
      <c r="C19" s="101" t="str">
        <f>VLOOKUP(64,K_Texte,K_SpracheSpalte,FALSE)</f>
        <v xml:space="preserve">     getrocknet</v>
      </c>
      <c r="D19" s="33"/>
      <c r="E19" s="32"/>
      <c r="F19" s="128" t="str">
        <f>IF(D19*E19&gt;0, D19*E19*0.001, "")</f>
        <v/>
      </c>
      <c r="G19" s="164"/>
      <c r="J19" s="154" t="b">
        <v>0</v>
      </c>
      <c r="L19"/>
      <c r="M19" s="201"/>
    </row>
    <row r="20" spans="1:13" ht="18" customHeight="1" thickBot="1">
      <c r="A20" s="161"/>
      <c r="B20" s="163"/>
      <c r="C20" s="167"/>
      <c r="D20" s="168">
        <f>IF(COUNT(D17:D19)&gt;0, SUM(D17:D19), 0)</f>
        <v>0</v>
      </c>
      <c r="E20" s="31" t="str">
        <f>VLOOKUP(61,K_Texte,K_SpracheSpalte,FALSE)</f>
        <v>Total</v>
      </c>
      <c r="F20" s="169">
        <f>IF(COUNT(F17:F19)&gt;0, SUM(F17:F19), 0)</f>
        <v>0</v>
      </c>
      <c r="G20" s="170"/>
      <c r="L20"/>
      <c r="M20" s="201"/>
    </row>
    <row r="21" spans="1:13" ht="6" customHeight="1" thickBot="1">
      <c r="A21" s="175"/>
      <c r="B21" s="175"/>
      <c r="C21" s="175"/>
      <c r="D21" s="175"/>
      <c r="E21" s="176"/>
      <c r="F21" s="177"/>
      <c r="G21" s="175"/>
      <c r="L21"/>
      <c r="M21" s="102"/>
    </row>
    <row r="22" spans="1:13" ht="18" customHeight="1" thickBot="1">
      <c r="A22" s="159" t="str">
        <f>VLOOKUP(72,K_Texte,K_SpracheSpalte,FALSE)</f>
        <v>Abgabe an eine andere ARA (zur Behandlung und Entsorgung)</v>
      </c>
      <c r="B22" s="160"/>
      <c r="C22" s="160"/>
      <c r="D22" s="160"/>
      <c r="E22" s="160"/>
      <c r="F22" s="160"/>
      <c r="G22" s="178" t="str">
        <f>VLOOKUP(73,K_Texte,K_SpracheSpalte,FALSE)</f>
        <v>ARA angeben</v>
      </c>
      <c r="L22"/>
      <c r="M22" s="201"/>
    </row>
    <row r="23" spans="1:13" ht="18" customHeight="1" thickBot="1">
      <c r="A23" s="161"/>
      <c r="B23" s="162"/>
      <c r="C23" s="99" t="str">
        <f>VLOOKUP(62,K_Texte,K_SpracheSpalte,FALSE)</f>
        <v xml:space="preserve">     flüssig</v>
      </c>
      <c r="D23" s="33"/>
      <c r="E23" s="32"/>
      <c r="F23" s="128" t="str">
        <f>IF(D23*E23&gt;0, D23*E23*0.001, "")</f>
        <v/>
      </c>
      <c r="G23" s="164"/>
      <c r="J23" s="154" t="b">
        <v>0</v>
      </c>
      <c r="L23"/>
      <c r="M23" s="201"/>
    </row>
    <row r="24" spans="1:13" ht="18" customHeight="1" thickBot="1">
      <c r="A24" s="161"/>
      <c r="B24" s="163"/>
      <c r="C24" s="100" t="str">
        <f>VLOOKUP(63,K_Texte,K_SpracheSpalte,FALSE)</f>
        <v xml:space="preserve">     entwässert</v>
      </c>
      <c r="D24" s="33"/>
      <c r="E24" s="32"/>
      <c r="F24" s="128" t="str">
        <f>IF(D24*E24&gt;0, D24*E24*0.001, "")</f>
        <v/>
      </c>
      <c r="G24" s="164"/>
      <c r="J24" s="154" t="b">
        <v>0</v>
      </c>
      <c r="L24"/>
      <c r="M24" s="201"/>
    </row>
    <row r="25" spans="1:13" ht="18" customHeight="1" thickBot="1">
      <c r="A25" s="161"/>
      <c r="B25" s="163"/>
      <c r="C25" s="101" t="str">
        <f>VLOOKUP(64,K_Texte,K_SpracheSpalte,FALSE)</f>
        <v xml:space="preserve">     getrocknet</v>
      </c>
      <c r="D25" s="33"/>
      <c r="E25" s="32"/>
      <c r="F25" s="128" t="str">
        <f>IF(D25*E25&gt;0, D25*E25*0.001, "")</f>
        <v/>
      </c>
      <c r="G25" s="164"/>
      <c r="J25" s="154" t="b">
        <v>0</v>
      </c>
      <c r="L25"/>
      <c r="M25" s="201"/>
    </row>
    <row r="26" spans="1:13" ht="18" customHeight="1" thickBot="1">
      <c r="A26" s="161"/>
      <c r="B26" s="163"/>
      <c r="C26" s="167"/>
      <c r="D26" s="168">
        <f>IF(COUNT(D23:D25)&gt;0, SUM(D23:D25), 0)</f>
        <v>0</v>
      </c>
      <c r="E26" s="31" t="str">
        <f>VLOOKUP(61,K_Texte,K_SpracheSpalte,FALSE)</f>
        <v>Total</v>
      </c>
      <c r="F26" s="169">
        <f>IF(COUNT(F23:F25)&gt;0, SUM(F23:F25), 0)</f>
        <v>0</v>
      </c>
      <c r="G26" s="170"/>
      <c r="L26"/>
      <c r="M26" s="201"/>
    </row>
    <row r="27" spans="1:13" ht="6" customHeight="1" thickBot="1">
      <c r="A27" s="179"/>
      <c r="B27" s="179"/>
      <c r="C27" s="179"/>
      <c r="D27" s="179"/>
      <c r="E27" s="179"/>
      <c r="F27" s="179"/>
      <c r="G27" s="179"/>
      <c r="L27"/>
      <c r="M27" s="102"/>
    </row>
    <row r="28" spans="1:13" ht="18" customHeight="1" thickBot="1">
      <c r="A28" s="171" t="str">
        <f>VLOOKUP(74,K_Texte,K_SpracheSpalte,FALSE)</f>
        <v>Weitere Entsorgungswege</v>
      </c>
      <c r="B28" s="23"/>
      <c r="C28" s="23"/>
      <c r="D28" s="23"/>
      <c r="E28" s="23"/>
      <c r="F28" s="23"/>
      <c r="G28" s="180" t="str">
        <f>VLOOKUP(75,K_Texte,K_SpracheSpalte,FALSE)</f>
        <v>Art und Ort der Entsorgung</v>
      </c>
      <c r="H28" s="102"/>
      <c r="I28" s="41"/>
      <c r="L28"/>
      <c r="M28" s="200"/>
    </row>
    <row r="29" spans="1:13" ht="18" customHeight="1" thickBot="1">
      <c r="A29" s="19"/>
      <c r="C29" s="99" t="str">
        <f>VLOOKUP(62,K_Texte,K_SpracheSpalte,FALSE)</f>
        <v xml:space="preserve">     flüssig</v>
      </c>
      <c r="D29" s="32"/>
      <c r="E29" s="32"/>
      <c r="F29" s="128" t="str">
        <f>IF(D29*E29&gt;0, D29*E29*0.001, "")</f>
        <v/>
      </c>
      <c r="G29" s="39"/>
      <c r="H29" s="108"/>
      <c r="I29" s="95"/>
      <c r="J29" s="15" t="b">
        <v>0</v>
      </c>
      <c r="L29"/>
      <c r="M29" s="200"/>
    </row>
    <row r="30" spans="1:13" ht="18" customHeight="1" thickBot="1">
      <c r="A30" s="19"/>
      <c r="C30" s="100" t="str">
        <f>VLOOKUP(63,K_Texte,K_SpracheSpalte,FALSE)</f>
        <v xml:space="preserve">     entwässert</v>
      </c>
      <c r="D30" s="32"/>
      <c r="E30" s="32"/>
      <c r="F30" s="128" t="str">
        <f>IF(D30*E30&gt;0, D30*E30*0.001, "")</f>
        <v/>
      </c>
      <c r="G30" s="39"/>
      <c r="H30" s="108"/>
      <c r="I30" s="95"/>
      <c r="J30" s="15" t="b">
        <v>0</v>
      </c>
      <c r="L30"/>
      <c r="M30" s="200"/>
    </row>
    <row r="31" spans="1:13" ht="18" customHeight="1" thickBot="1">
      <c r="A31" s="19"/>
      <c r="C31" s="101" t="str">
        <f>VLOOKUP(64,K_Texte,K_SpracheSpalte,FALSE)</f>
        <v xml:space="preserve">     getrocknet</v>
      </c>
      <c r="D31" s="32"/>
      <c r="E31" s="32"/>
      <c r="F31" s="128" t="str">
        <f>IF(D31*E31&gt;0, D31*E31*0.001, "")</f>
        <v/>
      </c>
      <c r="G31" s="39"/>
      <c r="H31" s="108"/>
      <c r="I31" s="95"/>
      <c r="J31" s="15" t="b">
        <v>0</v>
      </c>
      <c r="L31"/>
      <c r="M31" s="200"/>
    </row>
    <row r="32" spans="1:13" ht="18" customHeight="1" thickBot="1">
      <c r="A32" s="20"/>
      <c r="B32" s="21"/>
      <c r="C32" s="30"/>
      <c r="D32" s="157">
        <f>IF(COUNT(D29:D31)&gt;0, SUM(D29:D31), 0)</f>
        <v>0</v>
      </c>
      <c r="E32" s="31" t="str">
        <f>VLOOKUP(61,K_Texte,K_SpracheSpalte,FALSE)</f>
        <v>Total</v>
      </c>
      <c r="F32" s="158">
        <f>IF(COUNT(F29:F31)&gt;0, SUM(F29:F31), 0)</f>
        <v>0</v>
      </c>
      <c r="G32" s="40"/>
      <c r="H32" s="109"/>
      <c r="I32" s="96"/>
      <c r="L32"/>
      <c r="M32" s="200"/>
    </row>
    <row r="33" spans="1:15" ht="6" customHeight="1" thickBot="1">
      <c r="L33"/>
      <c r="M33" s="102"/>
    </row>
    <row r="34" spans="1:15" ht="18" customHeight="1" thickBot="1">
      <c r="A34" s="26" t="str">
        <f>VLOOKUP(76,K_Texte,K_SpracheSpalte,FALSE) &amp; " " &amp; K_Betriebsjahr &amp; " " &amp; VLOOKUP(77,K_Texte,K_SpracheSpalte,FALSE)</f>
        <v>Totale Klärschlammmenge 2025 in t TS:</v>
      </c>
      <c r="B34" s="198"/>
      <c r="C34" s="198"/>
      <c r="D34" s="198"/>
      <c r="E34" s="198"/>
      <c r="F34" s="193">
        <f>IF(COUNT(F14,F20,F26,F32)&gt;0, SUM(F14,F20,F26,F32), 0)</f>
        <v>0</v>
      </c>
      <c r="G34" s="28"/>
      <c r="H34" s="102"/>
      <c r="I34" s="41"/>
      <c r="L34"/>
      <c r="M34" s="200"/>
    </row>
    <row r="35" spans="1:15" ht="15" customHeight="1">
      <c r="G35" s="187" t="str">
        <f>VLOOKUP(78,K_Texte,K_SpracheSpalte,FALSE)</f>
        <v>zutreffendes bitte anklicken</v>
      </c>
      <c r="H35" s="110"/>
      <c r="I35" s="97"/>
      <c r="L35"/>
      <c r="M35" s="102"/>
    </row>
    <row r="36" spans="1:15" ht="6" customHeight="1">
      <c r="A36" s="172"/>
      <c r="B36" s="172"/>
      <c r="C36" s="172"/>
      <c r="D36" s="172"/>
      <c r="E36" s="173"/>
      <c r="F36" s="174"/>
      <c r="G36" s="172"/>
      <c r="L36"/>
      <c r="M36" s="102"/>
    </row>
    <row r="37" spans="1:15" ht="18" customHeight="1" thickBot="1">
      <c r="A37" s="86" t="str">
        <f>VLOOKUP(80,K_Texte,K_SpracheSpalte,FALSE)</f>
        <v>Keine Klärschlamm-Entsorgung</v>
      </c>
      <c r="B37" s="16"/>
      <c r="C37" s="16"/>
      <c r="D37" s="16"/>
      <c r="E37" s="16"/>
      <c r="F37" s="16"/>
      <c r="G37" s="16"/>
      <c r="H37" s="105"/>
      <c r="I37" s="91"/>
      <c r="L37"/>
      <c r="M37" s="200"/>
    </row>
    <row r="38" spans="1:15" ht="18" customHeight="1" thickBot="1">
      <c r="A38" s="218"/>
      <c r="B38" s="230" t="str">
        <f>K_Betriebsjahr &amp; " " &amp; VLOOKUP(81,K_Texte,K_SpracheSpalte,FALSE)</f>
        <v>2025 wurde der ARA kein Klärschlamm entnommen und entsorgt.</v>
      </c>
      <c r="C38" s="230"/>
      <c r="D38" s="230"/>
      <c r="E38" s="230"/>
      <c r="F38" s="230"/>
      <c r="G38" s="230"/>
      <c r="H38" s="105"/>
      <c r="I38" s="91"/>
      <c r="K38" s="15" t="b">
        <v>0</v>
      </c>
      <c r="L38"/>
      <c r="M38" s="200"/>
    </row>
    <row r="39" spans="1:15" ht="18" customHeight="1">
      <c r="A39" s="6"/>
      <c r="B39" s="16"/>
      <c r="C39" s="16"/>
      <c r="D39" s="16"/>
      <c r="E39" s="16"/>
      <c r="F39" s="16"/>
      <c r="G39" s="16"/>
      <c r="H39" s="105"/>
      <c r="I39" s="91"/>
      <c r="L39"/>
      <c r="M39" s="102"/>
    </row>
    <row r="40" spans="1:15" ht="18" customHeight="1" thickBot="1">
      <c r="A40" s="86" t="str">
        <f>VLOOKUP(82,K_Texte,K_SpracheSpalte,FALSE)</f>
        <v>Klärschlamm-Annahme von fremden ARA</v>
      </c>
      <c r="H40" s="106"/>
      <c r="I40" s="92"/>
      <c r="L40"/>
      <c r="M40" s="200"/>
    </row>
    <row r="41" spans="1:15" ht="18" customHeight="1" thickBot="1">
      <c r="A41" s="218"/>
      <c r="B41" s="16" t="str">
        <f>K_Betriebsjahr &amp; " " &amp; VLOOKUP(83,K_Texte,K_SpracheSpalte,FALSE)</f>
        <v>2025 wurden</v>
      </c>
      <c r="C41" s="16"/>
      <c r="D41" s="32"/>
      <c r="E41" s="16" t="str">
        <f>VLOOKUP(84,K_Texte,K_SpracheSpalte,FALSE)</f>
        <v xml:space="preserve"> m3 (flüssig) rsp. t (entwässert) Klärschlamm bzw. </v>
      </c>
      <c r="F41" s="16"/>
      <c r="G41" s="16"/>
      <c r="H41" s="105"/>
      <c r="I41" s="91"/>
      <c r="K41" s="15" t="b">
        <v>0</v>
      </c>
      <c r="L41"/>
      <c r="M41" s="200"/>
    </row>
    <row r="42" spans="1:15" ht="18" customHeight="1" thickBot="1">
      <c r="A42" s="16"/>
      <c r="B42" s="16"/>
      <c r="C42" s="16"/>
      <c r="D42" s="32"/>
      <c r="E42" s="16" t="str">
        <f>VLOOKUP(85,K_Texte,K_SpracheSpalte,FALSE)</f>
        <v xml:space="preserve"> t TS</v>
      </c>
      <c r="F42" s="16"/>
      <c r="G42" s="16"/>
      <c r="H42" s="105"/>
      <c r="I42" s="91"/>
      <c r="L42"/>
      <c r="M42" s="200"/>
    </row>
    <row r="43" spans="1:15" ht="18" customHeight="1" thickBot="1">
      <c r="A43" s="16"/>
      <c r="B43" s="16" t="str">
        <f>VLOOKUP(86,K_Texte,K_SpracheSpalte,FALSE)</f>
        <v xml:space="preserve">der fremden ARA </v>
      </c>
      <c r="C43" s="16"/>
      <c r="D43" s="148"/>
      <c r="E43" s="17"/>
      <c r="F43" s="17"/>
      <c r="G43" s="18"/>
      <c r="H43" s="93"/>
      <c r="I43" s="93"/>
      <c r="L43"/>
      <c r="M43" s="200"/>
    </row>
    <row r="44" spans="1:15" ht="18" customHeight="1">
      <c r="A44" s="16"/>
      <c r="B44" s="16" t="str">
        <f>VLOOKUP(87,K_Texte,K_SpracheSpalte,FALSE)</f>
        <v>zur Behandlung und Entsorgung angenommen (KS-Annahme).</v>
      </c>
      <c r="C44" s="16"/>
      <c r="D44" s="16"/>
      <c r="E44" s="16"/>
      <c r="F44" s="16"/>
      <c r="G44" s="16"/>
      <c r="H44" s="105"/>
      <c r="I44" s="91"/>
      <c r="L44"/>
      <c r="M44" s="200"/>
    </row>
    <row r="45" spans="1:15" ht="18" customHeight="1">
      <c r="A45" s="16"/>
      <c r="B45" s="16" t="str">
        <f>VLOOKUP(88,K_Texte,K_SpracheSpalte,FALSE)</f>
        <v>Dieser Klärschlamm ist in der oben angegebenen Menge enthalten.</v>
      </c>
      <c r="C45" s="16"/>
      <c r="D45" s="16"/>
      <c r="E45" s="16"/>
      <c r="F45" s="16"/>
      <c r="G45" s="16"/>
      <c r="H45" s="105"/>
      <c r="I45" s="91"/>
      <c r="L45"/>
      <c r="M45" s="200"/>
    </row>
    <row r="46" spans="1:15" ht="18" customHeight="1">
      <c r="A46" s="16"/>
      <c r="B46" s="16"/>
      <c r="C46" s="16"/>
      <c r="D46" s="16"/>
      <c r="E46" s="16"/>
      <c r="F46" s="16"/>
      <c r="G46" s="16"/>
      <c r="H46" s="105"/>
      <c r="I46" s="91"/>
      <c r="L46"/>
      <c r="M46" s="200"/>
    </row>
    <row r="47" spans="1:15" ht="18" customHeight="1" thickBot="1">
      <c r="A47" s="6" t="str">
        <f>VLOOKUP(91,K_Texte,K_SpracheSpalte,FALSE)</f>
        <v>Sandanfall</v>
      </c>
      <c r="H47" s="106"/>
      <c r="I47" s="188" t="s">
        <v>259</v>
      </c>
      <c r="L47"/>
      <c r="M47" s="201"/>
      <c r="O47" s="145"/>
    </row>
    <row r="48" spans="1:15" ht="18" customHeight="1" thickBot="1">
      <c r="A48" s="218"/>
      <c r="B48" s="86" t="str">
        <f>K_Betriebsjahr &amp; VLOOKUP(92,K_Texte,K_SpracheSpalte,FALSE)</f>
        <v>2025 wurde kein Sand entsorgt</v>
      </c>
      <c r="H48" s="106"/>
      <c r="I48" s="188"/>
      <c r="K48" s="154" t="b">
        <v>0</v>
      </c>
      <c r="L48"/>
      <c r="M48" s="201"/>
      <c r="O48" s="145"/>
    </row>
    <row r="49" spans="2:15" ht="18" customHeight="1" thickBot="1">
      <c r="B49" s="145" t="str">
        <f>VLOOKUP(93,K_Texte,K_SpracheSpalte,FALSE)</f>
        <v>Sandmenge Anfall total</v>
      </c>
      <c r="E49" s="149"/>
      <c r="H49" s="106"/>
      <c r="I49" s="190" t="str">
        <f>VLOOKUP(103,K_Texte,K_SpracheSpalte,FALSE)</f>
        <v>t (Tonnen)</v>
      </c>
      <c r="J49" s="189" t="s">
        <v>407</v>
      </c>
      <c r="K49" s="154"/>
      <c r="L49"/>
      <c r="M49" s="201"/>
      <c r="O49" s="145"/>
    </row>
    <row r="50" spans="2:15" ht="18" customHeight="1" thickBot="1">
      <c r="B50" s="145" t="str">
        <f>VLOOKUP(94,K_Texte,K_SpracheSpalte,FALSE)</f>
        <v>davon Sandmenge entsorgt</v>
      </c>
      <c r="E50" s="150"/>
      <c r="H50" s="106"/>
      <c r="I50" s="190" t="str">
        <f>VLOOKUP(104,K_Texte,K_SpracheSpalte,FALSE)</f>
        <v>m3 (Kubikmeter)</v>
      </c>
      <c r="K50" s="154"/>
      <c r="L50"/>
      <c r="M50" s="201"/>
    </row>
    <row r="51" spans="2:15" ht="18" customHeight="1" thickBot="1">
      <c r="B51" s="145" t="str">
        <f>VLOOKUP(95,K_Texte,K_SpracheSpalte,FALSE)</f>
        <v>Entsorgung wohin</v>
      </c>
      <c r="E51" s="148"/>
      <c r="F51" s="151"/>
      <c r="G51" s="152"/>
      <c r="H51" s="106"/>
      <c r="I51" s="92"/>
      <c r="L51"/>
      <c r="M51" s="201"/>
    </row>
    <row r="52" spans="2:15" ht="18" customHeight="1" thickBot="1">
      <c r="B52" s="145" t="str">
        <f>VLOOKUP(96,K_Texte,K_SpracheSpalte,FALSE)</f>
        <v>Entsorgung PLZ Ort</v>
      </c>
      <c r="E52" s="148"/>
      <c r="F52" s="151"/>
      <c r="G52" s="152"/>
      <c r="H52" s="106"/>
      <c r="I52" s="92"/>
      <c r="L52"/>
      <c r="M52" s="201"/>
    </row>
    <row r="53" spans="2:15" ht="18" customHeight="1" thickBot="1">
      <c r="B53" s="145" t="str">
        <f>VLOOKUP(97,K_Texte,K_SpracheSpalte,FALSE)</f>
        <v>Transporteur (Firma, Ort)</v>
      </c>
      <c r="E53" s="148"/>
      <c r="F53" s="151"/>
      <c r="G53" s="152"/>
      <c r="H53" s="106"/>
      <c r="I53" s="92"/>
      <c r="L53"/>
      <c r="M53" s="201"/>
    </row>
    <row r="54" spans="2:15" ht="6" customHeight="1" thickBot="1">
      <c r="B54" s="145"/>
      <c r="H54" s="106"/>
      <c r="I54" s="92"/>
      <c r="L54"/>
      <c r="M54" s="130"/>
    </row>
    <row r="55" spans="2:15" ht="18" customHeight="1" thickBot="1">
      <c r="B55" s="145" t="str">
        <f>VLOOKUP(98,K_Texte,K_SpracheSpalte,FALSE)</f>
        <v>Sandbehandlung in eigener ARA:</v>
      </c>
      <c r="E55" s="218"/>
      <c r="F55" s="145" t="str">
        <f>VLOOKUP(99,K_Texte,K_SpracheSpalte,FALSE)</f>
        <v>Sandwaschanlage</v>
      </c>
      <c r="H55" s="106"/>
      <c r="I55" s="92"/>
      <c r="K55" s="154" t="b">
        <v>0</v>
      </c>
      <c r="L55"/>
      <c r="M55" s="201"/>
    </row>
    <row r="56" spans="2:15" ht="18" customHeight="1" thickBot="1">
      <c r="E56" s="218"/>
      <c r="F56" s="145" t="str">
        <f>VLOOKUP(100,K_Texte,K_SpracheSpalte,FALSE)</f>
        <v>Spülung</v>
      </c>
      <c r="H56" s="106"/>
      <c r="I56" s="92"/>
      <c r="K56" s="154" t="b">
        <v>0</v>
      </c>
      <c r="L56"/>
      <c r="M56" s="201"/>
    </row>
    <row r="57" spans="2:15" ht="18" customHeight="1" thickBot="1">
      <c r="E57" s="218"/>
      <c r="F57" s="145" t="str">
        <f>VLOOKUP(101,K_Texte,K_SpracheSpalte,FALSE)</f>
        <v>Sandklassierer</v>
      </c>
      <c r="H57" s="106"/>
      <c r="I57" s="92"/>
      <c r="K57" s="154" t="b">
        <v>0</v>
      </c>
      <c r="L57"/>
      <c r="M57" s="201"/>
    </row>
    <row r="58" spans="2:15" ht="18" customHeight="1" thickBot="1">
      <c r="E58" s="218"/>
      <c r="F58" s="145" t="str">
        <f>VLOOKUP(102,K_Texte,K_SpracheSpalte,FALSE)</f>
        <v>keine</v>
      </c>
      <c r="H58" s="106"/>
      <c r="I58" s="92"/>
      <c r="K58" s="154" t="b">
        <v>0</v>
      </c>
      <c r="L58"/>
      <c r="M58" s="201"/>
    </row>
    <row r="59" spans="2:15" ht="6" customHeight="1" thickBot="1">
      <c r="B59" s="145"/>
      <c r="H59" s="106"/>
      <c r="I59" s="92"/>
      <c r="L59"/>
      <c r="M59" s="130"/>
    </row>
    <row r="60" spans="2:15" ht="18" customHeight="1" thickBot="1">
      <c r="B60" s="145" t="str">
        <f>VLOOKUP(105,K_Texte,K_SpracheSpalte,FALSE)</f>
        <v>Sand-Annahme von fremden ARA</v>
      </c>
      <c r="E60" s="218"/>
      <c r="F60" s="145" t="str">
        <f>VLOOKUP(106,K_Texte,K_SpracheSpalte,FALSE)</f>
        <v>nein</v>
      </c>
      <c r="H60" s="106"/>
      <c r="I60" s="92"/>
      <c r="K60" s="154" t="b">
        <v>0</v>
      </c>
      <c r="L60"/>
      <c r="M60" s="201"/>
    </row>
    <row r="61" spans="2:15" ht="18" customHeight="1" thickBot="1">
      <c r="B61" s="146" t="str">
        <f>VLOOKUP(107,K_Texte,K_SpracheSpalte,FALSE)</f>
        <v>ja, von welcher ARA?</v>
      </c>
      <c r="C61" s="27"/>
      <c r="D61" s="28"/>
      <c r="E61" s="147" t="str">
        <f>VLOOKUP(108,K_Texte,K_SpracheSpalte,FALSE)</f>
        <v>Menge [t]</v>
      </c>
      <c r="H61" s="106"/>
      <c r="I61" s="92"/>
      <c r="L61"/>
      <c r="M61" s="201"/>
    </row>
    <row r="62" spans="2:15" ht="18" customHeight="1" thickBot="1">
      <c r="B62" s="148"/>
      <c r="C62" s="151"/>
      <c r="D62" s="152"/>
      <c r="E62" s="153"/>
      <c r="H62" s="106"/>
      <c r="I62" s="92"/>
      <c r="L62"/>
      <c r="M62" s="201"/>
    </row>
    <row r="63" spans="2:15" ht="18" customHeight="1" thickBot="1">
      <c r="B63" s="148"/>
      <c r="C63" s="151"/>
      <c r="D63" s="152"/>
      <c r="E63" s="153"/>
      <c r="H63" s="106"/>
      <c r="I63" s="92"/>
      <c r="L63"/>
      <c r="M63" s="201"/>
    </row>
    <row r="64" spans="2:15" ht="18" customHeight="1" thickBot="1">
      <c r="B64" s="148"/>
      <c r="C64" s="151"/>
      <c r="D64" s="152"/>
      <c r="E64" s="153"/>
      <c r="H64" s="106"/>
      <c r="I64" s="92"/>
      <c r="L64"/>
      <c r="M64" s="201"/>
    </row>
    <row r="65" spans="1:13" ht="18" customHeight="1" thickBot="1">
      <c r="B65" s="148"/>
      <c r="C65" s="151"/>
      <c r="D65" s="152"/>
      <c r="E65" s="153"/>
      <c r="H65" s="106"/>
      <c r="I65" s="92"/>
      <c r="L65"/>
      <c r="M65" s="201"/>
    </row>
    <row r="66" spans="1:13" ht="18" customHeight="1" thickBot="1">
      <c r="B66" s="148"/>
      <c r="C66" s="151"/>
      <c r="D66" s="152"/>
      <c r="E66" s="153"/>
      <c r="H66" s="106"/>
      <c r="I66" s="92"/>
      <c r="L66"/>
      <c r="M66" s="201"/>
    </row>
    <row r="67" spans="1:13" ht="18" customHeight="1" thickBot="1">
      <c r="B67" s="148"/>
      <c r="C67" s="151"/>
      <c r="D67" s="152"/>
      <c r="E67" s="153"/>
      <c r="H67" s="106"/>
      <c r="I67" s="92"/>
      <c r="L67"/>
      <c r="M67" s="201"/>
    </row>
    <row r="68" spans="1:13" ht="18" customHeight="1" thickBot="1">
      <c r="B68" s="148"/>
      <c r="C68" s="151"/>
      <c r="D68" s="152"/>
      <c r="E68" s="153"/>
      <c r="H68" s="106"/>
      <c r="I68" s="92"/>
      <c r="L68"/>
      <c r="M68" s="201"/>
    </row>
    <row r="69" spans="1:13" ht="18" customHeight="1" thickBot="1">
      <c r="B69" s="148"/>
      <c r="C69" s="151"/>
      <c r="D69" s="152"/>
      <c r="E69" s="153"/>
      <c r="H69" s="106"/>
      <c r="I69" s="92"/>
      <c r="L69"/>
      <c r="M69" s="201"/>
    </row>
    <row r="70" spans="1:13" ht="18" customHeight="1" thickBot="1">
      <c r="B70" s="148"/>
      <c r="C70" s="151"/>
      <c r="D70" s="152"/>
      <c r="E70" s="153"/>
      <c r="H70" s="106"/>
      <c r="I70" s="92"/>
      <c r="L70"/>
      <c r="M70" s="201"/>
    </row>
    <row r="71" spans="1:13" ht="18" customHeight="1" thickBot="1">
      <c r="B71" s="148"/>
      <c r="C71" s="151"/>
      <c r="D71" s="152"/>
      <c r="E71" s="153"/>
      <c r="H71" s="106"/>
      <c r="I71" s="92"/>
      <c r="L71"/>
      <c r="M71" s="201"/>
    </row>
    <row r="72" spans="1:13" ht="18" customHeight="1" thickBot="1">
      <c r="B72" s="148"/>
      <c r="C72" s="151"/>
      <c r="D72" s="152"/>
      <c r="E72" s="153"/>
      <c r="H72" s="106"/>
      <c r="I72" s="92"/>
      <c r="L72"/>
      <c r="M72" s="201"/>
    </row>
    <row r="73" spans="1:13" ht="18" customHeight="1" thickBot="1">
      <c r="B73" s="194" t="str">
        <f>VLOOKUP(109,K_Texte,K_SpracheSpalte,FALSE)</f>
        <v>Fremdsand-Annahme gesamt [t]</v>
      </c>
      <c r="C73" s="195"/>
      <c r="D73" s="196"/>
      <c r="E73" s="197">
        <f>SUM(E62:E72)</f>
        <v>0</v>
      </c>
      <c r="H73" s="106"/>
      <c r="I73" s="92"/>
      <c r="L73"/>
      <c r="M73" s="201"/>
    </row>
    <row r="74" spans="1:13" ht="18" customHeight="1">
      <c r="B74" s="185"/>
      <c r="C74" s="185"/>
      <c r="D74" s="185"/>
      <c r="E74" s="185"/>
      <c r="H74" s="106"/>
      <c r="I74" s="92"/>
      <c r="L74"/>
      <c r="M74" s="102"/>
    </row>
    <row r="75" spans="1:13" ht="21" customHeight="1">
      <c r="A75" s="6" t="str">
        <f>VLOOKUP(111,K_Texte,K_SpracheSpalte,FALSE)</f>
        <v>Bemerkungen allgemein</v>
      </c>
      <c r="L75"/>
      <c r="M75" s="102"/>
    </row>
    <row r="76" spans="1:13" ht="15" customHeight="1">
      <c r="A76" s="202"/>
      <c r="B76" s="203"/>
      <c r="C76" s="203"/>
      <c r="D76" s="203"/>
      <c r="E76" s="203"/>
      <c r="F76" s="203"/>
      <c r="G76" s="204"/>
      <c r="L76"/>
      <c r="M76" s="102"/>
    </row>
    <row r="77" spans="1:13" ht="15" customHeight="1">
      <c r="A77" s="202"/>
      <c r="B77" s="203"/>
      <c r="C77" s="203"/>
      <c r="D77" s="203"/>
      <c r="E77" s="203"/>
      <c r="F77" s="203"/>
      <c r="G77" s="204"/>
      <c r="L77"/>
      <c r="M77" s="102"/>
    </row>
    <row r="78" spans="1:13" ht="15" customHeight="1">
      <c r="A78" s="202"/>
      <c r="B78" s="203"/>
      <c r="C78" s="203"/>
      <c r="D78" s="203"/>
      <c r="E78" s="203"/>
      <c r="F78" s="203"/>
      <c r="G78" s="204"/>
      <c r="L78"/>
      <c r="M78" s="102"/>
    </row>
    <row r="79" spans="1:13" ht="15" customHeight="1">
      <c r="A79" s="202"/>
      <c r="B79" s="203"/>
      <c r="C79" s="203"/>
      <c r="D79" s="203"/>
      <c r="E79" s="203"/>
      <c r="F79" s="203"/>
      <c r="G79" s="204"/>
      <c r="L79"/>
      <c r="M79" s="102"/>
    </row>
    <row r="80" spans="1:13" ht="15" customHeight="1">
      <c r="A80" s="202"/>
      <c r="B80" s="203"/>
      <c r="C80" s="203"/>
      <c r="D80" s="203"/>
      <c r="E80" s="203"/>
      <c r="F80" s="203"/>
      <c r="G80" s="204"/>
      <c r="L80"/>
      <c r="M80" s="102"/>
    </row>
    <row r="81" spans="1:13" ht="15" customHeight="1">
      <c r="A81" s="202"/>
      <c r="B81" s="203"/>
      <c r="C81" s="203"/>
      <c r="D81" s="203"/>
      <c r="E81" s="203"/>
      <c r="F81" s="203"/>
      <c r="G81" s="204"/>
      <c r="L81"/>
      <c r="M81" s="102"/>
    </row>
    <row r="82" spans="1:13" ht="15" customHeight="1">
      <c r="A82" s="202"/>
      <c r="B82" s="203"/>
      <c r="C82" s="203"/>
      <c r="D82" s="203"/>
      <c r="E82" s="203"/>
      <c r="F82" s="203"/>
      <c r="G82" s="204"/>
      <c r="L82"/>
      <c r="M82" s="102"/>
    </row>
    <row r="83" spans="1:13" ht="15" customHeight="1">
      <c r="A83" s="202"/>
      <c r="B83" s="203"/>
      <c r="C83" s="203"/>
      <c r="D83" s="203"/>
      <c r="E83" s="203"/>
      <c r="F83" s="203"/>
      <c r="G83" s="204"/>
      <c r="L83"/>
      <c r="M83" s="102"/>
    </row>
    <row r="84" spans="1:13" ht="15" customHeight="1">
      <c r="A84" s="202"/>
      <c r="B84" s="203"/>
      <c r="C84" s="203"/>
      <c r="D84" s="203"/>
      <c r="E84" s="203"/>
      <c r="F84" s="203"/>
      <c r="G84" s="204"/>
      <c r="L84"/>
      <c r="M84" s="102"/>
    </row>
    <row r="85" spans="1:13" ht="6" customHeight="1">
      <c r="L85"/>
    </row>
    <row r="86" spans="1:13" ht="21" customHeight="1">
      <c r="A86" s="6" t="str">
        <f>VLOOKUP(112,K_Texte,K_SpracheSpalte,FALSE)</f>
        <v>Erklärungen</v>
      </c>
      <c r="L86"/>
    </row>
    <row r="87" spans="1:13" ht="27" customHeight="1">
      <c r="B87" s="229" t="str">
        <f>VLOOKUP(113,K_Texte,K_SpracheSpalte,FALSE)</f>
        <v>In der Tabelle ist die im Berichtsjahr bei der ARA angefallene und entsorgte Klärschlamm-Menge anzugeben.</v>
      </c>
      <c r="C87" s="229" t="str">
        <f t="shared" ref="C87:G93" si="0">VLOOKUP(112,K_Texte,K_SpracheSpalte,FALSE)</f>
        <v>Erklärungen</v>
      </c>
      <c r="D87" s="229" t="str">
        <f t="shared" si="0"/>
        <v>Erklärungen</v>
      </c>
      <c r="E87" s="229" t="str">
        <f t="shared" si="0"/>
        <v>Erklärungen</v>
      </c>
      <c r="F87" s="229" t="str">
        <f t="shared" si="0"/>
        <v>Erklärungen</v>
      </c>
      <c r="G87" s="229" t="str">
        <f t="shared" si="0"/>
        <v>Erklärungen</v>
      </c>
      <c r="H87" s="111"/>
      <c r="I87" s="98"/>
      <c r="L87"/>
    </row>
    <row r="88" spans="1:13" ht="27" customHeight="1">
      <c r="B88" s="229" t="str">
        <f>VLOOKUP(114,K_Texte,K_SpracheSpalte,FALSE)</f>
        <v>Sofern Klärschlamm auf eine Zwischendeponie (bei oder ausserhalb der ARA) deponiert wurde, ist dieser Schlamm bei der später erfolgenden Entsorgungsart in der Tabelle zu berücksichtigen</v>
      </c>
      <c r="C88" s="229" t="str">
        <f t="shared" si="0"/>
        <v>Erklärungen</v>
      </c>
      <c r="D88" s="229" t="str">
        <f t="shared" si="0"/>
        <v>Erklärungen</v>
      </c>
      <c r="E88" s="229" t="str">
        <f t="shared" si="0"/>
        <v>Erklärungen</v>
      </c>
      <c r="F88" s="229" t="str">
        <f t="shared" si="0"/>
        <v>Erklärungen</v>
      </c>
      <c r="G88" s="229" t="str">
        <f t="shared" si="0"/>
        <v>Erklärungen</v>
      </c>
      <c r="H88" s="111"/>
      <c r="I88" s="98"/>
      <c r="L88"/>
    </row>
    <row r="89" spans="1:13" ht="27" customHeight="1">
      <c r="B89" s="229" t="str">
        <f>VLOOKUP(115,K_Texte,K_SpracheSpalte,FALSE)</f>
        <v>Wurde der Klärschlamm nicht der Verbrennung zugeführt, ist dies im Formular unter "weitere Entsorgungswege" mit genauer Bezeichnung anzugeben.</v>
      </c>
      <c r="C89" s="229" t="str">
        <f t="shared" si="0"/>
        <v>Erklärungen</v>
      </c>
      <c r="D89" s="229" t="str">
        <f t="shared" si="0"/>
        <v>Erklärungen</v>
      </c>
      <c r="E89" s="229" t="str">
        <f t="shared" si="0"/>
        <v>Erklärungen</v>
      </c>
      <c r="F89" s="229" t="str">
        <f t="shared" si="0"/>
        <v>Erklärungen</v>
      </c>
      <c r="G89" s="229" t="str">
        <f t="shared" si="0"/>
        <v>Erklärungen</v>
      </c>
      <c r="H89" s="111"/>
      <c r="I89" s="98"/>
      <c r="L89"/>
    </row>
    <row r="90" spans="1:13" ht="27" customHeight="1">
      <c r="B90" s="229" t="str">
        <f>VLOOKUP(116,K_Texte,K_SpracheSpalte,FALSE)</f>
        <v>Bei der Trockensubstanz ist, sofern diese auf der Kläranlage nicht mehrmals selber bestimmt wird, der vom ANU mit den Klärschlammanalysen zuletzt mitgeteilte Wert zu verwenden.</v>
      </c>
      <c r="C90" s="229" t="str">
        <f t="shared" si="0"/>
        <v>Erklärungen</v>
      </c>
      <c r="D90" s="229" t="str">
        <f t="shared" si="0"/>
        <v>Erklärungen</v>
      </c>
      <c r="E90" s="229" t="str">
        <f t="shared" si="0"/>
        <v>Erklärungen</v>
      </c>
      <c r="F90" s="229" t="str">
        <f t="shared" si="0"/>
        <v>Erklärungen</v>
      </c>
      <c r="G90" s="229" t="str">
        <f t="shared" si="0"/>
        <v>Erklärungen</v>
      </c>
      <c r="H90" s="111"/>
      <c r="I90" s="98"/>
      <c r="L90"/>
    </row>
    <row r="91" spans="1:13" ht="27" customHeight="1">
      <c r="B91" s="229" t="str">
        <f>VLOOKUP(117,K_Texte,K_SpracheSpalte,FALSE)</f>
        <v>Die Konsistenz, Menge und die Trockensubstanz sollte jeweils miteinander übereinstimmen (z.B. entwässert, 100 m3, 290 g/kg).</v>
      </c>
      <c r="C91" s="229" t="str">
        <f t="shared" si="0"/>
        <v>Erklärungen</v>
      </c>
      <c r="D91" s="229" t="str">
        <f t="shared" si="0"/>
        <v>Erklärungen</v>
      </c>
      <c r="E91" s="229" t="str">
        <f t="shared" si="0"/>
        <v>Erklärungen</v>
      </c>
      <c r="F91" s="229" t="str">
        <f t="shared" si="0"/>
        <v>Erklärungen</v>
      </c>
      <c r="G91" s="229" t="str">
        <f t="shared" si="0"/>
        <v>Erklärungen</v>
      </c>
      <c r="H91" s="111"/>
      <c r="I91" s="98"/>
      <c r="L91"/>
    </row>
    <row r="92" spans="1:13" ht="27" customHeight="1">
      <c r="B92" s="229" t="str">
        <f>VLOOKUP(118,K_Texte,K_SpracheSpalte,FALSE)</f>
        <v>Beim Berechnen von TS-Frachten ist darauf zu achten, dass Schlammmenge und TS-Gehalt derselben Konsistenz multipliziert werden.</v>
      </c>
      <c r="C92" s="229" t="str">
        <f t="shared" si="0"/>
        <v>Erklärungen</v>
      </c>
      <c r="D92" s="229" t="str">
        <f t="shared" si="0"/>
        <v>Erklärungen</v>
      </c>
      <c r="E92" s="229" t="str">
        <f t="shared" si="0"/>
        <v>Erklärungen</v>
      </c>
      <c r="F92" s="229" t="str">
        <f t="shared" si="0"/>
        <v>Erklärungen</v>
      </c>
      <c r="G92" s="229" t="str">
        <f t="shared" si="0"/>
        <v>Erklärungen</v>
      </c>
      <c r="H92" s="111"/>
      <c r="I92" s="98"/>
      <c r="L92"/>
    </row>
    <row r="93" spans="1:13" ht="17.25" customHeight="1">
      <c r="B93" s="229" t="str">
        <f>VLOOKUP(119,K_Texte,K_SpracheSpalte,FALSE)</f>
        <v>g/l oder g/kg = Trockensubstanz in % * 10</v>
      </c>
      <c r="C93" s="229" t="str">
        <f t="shared" si="0"/>
        <v>Erklärungen</v>
      </c>
      <c r="D93" s="229" t="str">
        <f t="shared" si="0"/>
        <v>Erklärungen</v>
      </c>
      <c r="E93" s="229" t="str">
        <f t="shared" si="0"/>
        <v>Erklärungen</v>
      </c>
      <c r="F93" s="229" t="str">
        <f t="shared" si="0"/>
        <v>Erklärungen</v>
      </c>
      <c r="G93" s="229" t="str">
        <f t="shared" si="0"/>
        <v>Erklärungen</v>
      </c>
      <c r="H93" s="111"/>
      <c r="I93" s="98"/>
      <c r="L93"/>
    </row>
    <row r="94" spans="1:13" ht="6" customHeight="1">
      <c r="L94"/>
    </row>
    <row r="95" spans="1:13" ht="21" customHeight="1">
      <c r="A95" s="6" t="str">
        <f>VLOOKUP(120,K_Texte,K_SpracheSpalte,FALSE)</f>
        <v>Berechnung</v>
      </c>
      <c r="L95"/>
    </row>
    <row r="96" spans="1:13">
      <c r="L96"/>
    </row>
    <row r="97" spans="2:12">
      <c r="B97" s="86" t="str">
        <f>VLOOKUP(121,K_Texte,K_SpracheSpalte,FALSE)</f>
        <v>Formel:</v>
      </c>
      <c r="L97"/>
    </row>
    <row r="98" spans="2:12">
      <c r="L98"/>
    </row>
    <row r="99" spans="2:12">
      <c r="L99"/>
    </row>
    <row r="100" spans="2:12">
      <c r="L100"/>
    </row>
    <row r="101" spans="2:12">
      <c r="B101" s="86" t="str">
        <f>VLOOKUP(122,K_Texte,K_SpracheSpalte,FALSE)</f>
        <v>Beispiel:</v>
      </c>
      <c r="L101"/>
    </row>
    <row r="102" spans="2:12">
      <c r="L102"/>
    </row>
    <row r="103" spans="2:12">
      <c r="L103"/>
    </row>
    <row r="104" spans="2:12">
      <c r="L104"/>
    </row>
    <row r="105" spans="2:12">
      <c r="L105"/>
    </row>
    <row r="106" spans="2:12">
      <c r="L106"/>
    </row>
    <row r="107" spans="2:12">
      <c r="C107"/>
      <c r="L107"/>
    </row>
    <row r="108" spans="2:12">
      <c r="L108"/>
    </row>
    <row r="109" spans="2:12">
      <c r="L109"/>
    </row>
    <row r="110" spans="2:12">
      <c r="L110"/>
    </row>
    <row r="111" spans="2:12">
      <c r="L111"/>
    </row>
    <row r="112" spans="2:12">
      <c r="L112"/>
    </row>
    <row r="113" spans="12:12">
      <c r="L113"/>
    </row>
    <row r="114" spans="12:12">
      <c r="L114"/>
    </row>
    <row r="115" spans="12:12">
      <c r="L115"/>
    </row>
    <row r="116" spans="12:12">
      <c r="L116"/>
    </row>
    <row r="117" spans="12:12">
      <c r="L117"/>
    </row>
    <row r="118" spans="12:12">
      <c r="L118"/>
    </row>
    <row r="119" spans="12:12">
      <c r="L119"/>
    </row>
    <row r="120" spans="12:12">
      <c r="L120"/>
    </row>
    <row r="121" spans="12:12">
      <c r="L121"/>
    </row>
    <row r="122" spans="12:12">
      <c r="L122"/>
    </row>
    <row r="123" spans="12:12">
      <c r="L123"/>
    </row>
    <row r="124" spans="12:12">
      <c r="L124"/>
    </row>
    <row r="125" spans="12:12">
      <c r="L125"/>
    </row>
    <row r="126" spans="12:12">
      <c r="L126"/>
    </row>
    <row r="127" spans="12:12">
      <c r="L127"/>
    </row>
    <row r="128" spans="12:12">
      <c r="L128"/>
    </row>
    <row r="129" spans="12:12">
      <c r="L129"/>
    </row>
    <row r="130" spans="12:12">
      <c r="L130"/>
    </row>
    <row r="131" spans="12:12">
      <c r="L131"/>
    </row>
    <row r="132" spans="12:12">
      <c r="L132"/>
    </row>
    <row r="133" spans="12:12">
      <c r="L133"/>
    </row>
    <row r="134" spans="12:12">
      <c r="L134"/>
    </row>
    <row r="135" spans="12:12">
      <c r="L135"/>
    </row>
    <row r="136" spans="12:12">
      <c r="L136"/>
    </row>
    <row r="137" spans="12:12">
      <c r="L137"/>
    </row>
    <row r="138" spans="12:12">
      <c r="L138"/>
    </row>
    <row r="139" spans="12:12">
      <c r="L139"/>
    </row>
    <row r="140" spans="12:12">
      <c r="L140"/>
    </row>
    <row r="141" spans="12:12">
      <c r="L141"/>
    </row>
    <row r="142" spans="12:12">
      <c r="L142"/>
    </row>
    <row r="143" spans="12:12">
      <c r="L143"/>
    </row>
    <row r="144" spans="12:12">
      <c r="L144"/>
    </row>
    <row r="145" spans="12:12">
      <c r="L145"/>
    </row>
    <row r="146" spans="12:12">
      <c r="L146"/>
    </row>
    <row r="147" spans="12:12">
      <c r="L147"/>
    </row>
    <row r="148" spans="12:12">
      <c r="L148"/>
    </row>
    <row r="149" spans="12:12">
      <c r="L149"/>
    </row>
    <row r="150" spans="12:12">
      <c r="L150"/>
    </row>
    <row r="151" spans="12:12">
      <c r="L151"/>
    </row>
    <row r="152" spans="12:12">
      <c r="L152"/>
    </row>
    <row r="153" spans="12:12">
      <c r="L153"/>
    </row>
    <row r="154" spans="12:12">
      <c r="L154"/>
    </row>
    <row r="155" spans="12:12">
      <c r="L155"/>
    </row>
    <row r="156" spans="12:12">
      <c r="L156"/>
    </row>
    <row r="157" spans="12:12">
      <c r="L157"/>
    </row>
    <row r="158" spans="12:12">
      <c r="L158"/>
    </row>
    <row r="159" spans="12:12">
      <c r="L159"/>
    </row>
    <row r="160" spans="12:12">
      <c r="L160"/>
    </row>
    <row r="161" spans="12:12">
      <c r="L161"/>
    </row>
    <row r="162" spans="12:12">
      <c r="L162"/>
    </row>
    <row r="163" spans="12:12">
      <c r="L163"/>
    </row>
    <row r="164" spans="12:12">
      <c r="L164"/>
    </row>
    <row r="165" spans="12:12">
      <c r="L165"/>
    </row>
  </sheetData>
  <sheetProtection sheet="1" objects="1" scenarios="1"/>
  <dataConsolidate/>
  <mergeCells count="9">
    <mergeCell ref="E7:F7"/>
    <mergeCell ref="B87:G87"/>
    <mergeCell ref="B90:G90"/>
    <mergeCell ref="B91:G91"/>
    <mergeCell ref="B93:G93"/>
    <mergeCell ref="B88:G88"/>
    <mergeCell ref="B89:G89"/>
    <mergeCell ref="B92:G92"/>
    <mergeCell ref="B38:G38"/>
  </mergeCells>
  <phoneticPr fontId="2" type="noConversion"/>
  <pageMargins left="0.78740157480314965" right="0.39370078740157483" top="0.78740157480314965" bottom="0.78740157480314965" header="0.39370078740157483" footer="0.39370078740157483"/>
  <pageSetup paperSize="9" orientation="portrait" r:id="rId1"/>
  <headerFooter alignWithMargins="0">
    <oddFooter>&amp;LANU/A/Ho&amp;CSeite &amp;P / &amp;N&amp;R&amp;8&amp;Z&amp;F, &amp;A
&amp;D</oddFooter>
  </headerFooter>
  <rowBreaks count="2" manualBreakCount="2">
    <brk id="46" max="6" man="1"/>
    <brk id="85" max="6" man="1"/>
  </rowBreaks>
  <drawing r:id="rId2"/>
  <legacyDrawing r:id="rId3"/>
  <controls>
    <mc:AlternateContent xmlns:mc="http://schemas.openxmlformats.org/markup-compatibility/2006">
      <mc:Choice Requires="x14">
        <control shapeId="3308" r:id="rId4" name="CheckBox22">
          <controlPr defaultSize="0" autoLine="0" linkedCell="K60" r:id="rId5">
            <anchor moveWithCells="1">
              <from>
                <xdr:col>4</xdr:col>
                <xdr:colOff>571500</xdr:colOff>
                <xdr:row>59</xdr:row>
                <xdr:rowOff>38100</xdr:rowOff>
              </from>
              <to>
                <xdr:col>4</xdr:col>
                <xdr:colOff>733425</xdr:colOff>
                <xdr:row>59</xdr:row>
                <xdr:rowOff>219075</xdr:rowOff>
              </to>
            </anchor>
          </controlPr>
        </control>
      </mc:Choice>
      <mc:Fallback>
        <control shapeId="3308" r:id="rId4" name="CheckBox22"/>
      </mc:Fallback>
    </mc:AlternateContent>
    <mc:AlternateContent xmlns:mc="http://schemas.openxmlformats.org/markup-compatibility/2006">
      <mc:Choice Requires="x14">
        <control shapeId="3307" r:id="rId6" name="CheckBox21">
          <controlPr defaultSize="0" autoLine="0" linkedCell="K58" r:id="rId5">
            <anchor moveWithCells="1">
              <from>
                <xdr:col>4</xdr:col>
                <xdr:colOff>571500</xdr:colOff>
                <xdr:row>57</xdr:row>
                <xdr:rowOff>38100</xdr:rowOff>
              </from>
              <to>
                <xdr:col>4</xdr:col>
                <xdr:colOff>733425</xdr:colOff>
                <xdr:row>57</xdr:row>
                <xdr:rowOff>219075</xdr:rowOff>
              </to>
            </anchor>
          </controlPr>
        </control>
      </mc:Choice>
      <mc:Fallback>
        <control shapeId="3307" r:id="rId6" name="CheckBox21"/>
      </mc:Fallback>
    </mc:AlternateContent>
    <mc:AlternateContent xmlns:mc="http://schemas.openxmlformats.org/markup-compatibility/2006">
      <mc:Choice Requires="x14">
        <control shapeId="3306" r:id="rId7" name="CheckBox20">
          <controlPr defaultSize="0" autoLine="0" linkedCell="K57" r:id="rId5">
            <anchor moveWithCells="1">
              <from>
                <xdr:col>4</xdr:col>
                <xdr:colOff>571500</xdr:colOff>
                <xdr:row>56</xdr:row>
                <xdr:rowOff>38100</xdr:rowOff>
              </from>
              <to>
                <xdr:col>4</xdr:col>
                <xdr:colOff>733425</xdr:colOff>
                <xdr:row>56</xdr:row>
                <xdr:rowOff>219075</xdr:rowOff>
              </to>
            </anchor>
          </controlPr>
        </control>
      </mc:Choice>
      <mc:Fallback>
        <control shapeId="3306" r:id="rId7" name="CheckBox20"/>
      </mc:Fallback>
    </mc:AlternateContent>
    <mc:AlternateContent xmlns:mc="http://schemas.openxmlformats.org/markup-compatibility/2006">
      <mc:Choice Requires="x14">
        <control shapeId="3305" r:id="rId8" name="CheckBox19">
          <controlPr defaultSize="0" autoLine="0" linkedCell="K56" r:id="rId5">
            <anchor moveWithCells="1">
              <from>
                <xdr:col>4</xdr:col>
                <xdr:colOff>571500</xdr:colOff>
                <xdr:row>55</xdr:row>
                <xdr:rowOff>38100</xdr:rowOff>
              </from>
              <to>
                <xdr:col>4</xdr:col>
                <xdr:colOff>733425</xdr:colOff>
                <xdr:row>55</xdr:row>
                <xdr:rowOff>219075</xdr:rowOff>
              </to>
            </anchor>
          </controlPr>
        </control>
      </mc:Choice>
      <mc:Fallback>
        <control shapeId="3305" r:id="rId8" name="CheckBox19"/>
      </mc:Fallback>
    </mc:AlternateContent>
    <mc:AlternateContent xmlns:mc="http://schemas.openxmlformats.org/markup-compatibility/2006">
      <mc:Choice Requires="x14">
        <control shapeId="3304" r:id="rId9" name="CheckBox18">
          <controlPr defaultSize="0" autoLine="0" linkedCell="K55" r:id="rId5">
            <anchor moveWithCells="1">
              <from>
                <xdr:col>4</xdr:col>
                <xdr:colOff>571500</xdr:colOff>
                <xdr:row>54</xdr:row>
                <xdr:rowOff>38100</xdr:rowOff>
              </from>
              <to>
                <xdr:col>4</xdr:col>
                <xdr:colOff>733425</xdr:colOff>
                <xdr:row>54</xdr:row>
                <xdr:rowOff>219075</xdr:rowOff>
              </to>
            </anchor>
          </controlPr>
        </control>
      </mc:Choice>
      <mc:Fallback>
        <control shapeId="3304" r:id="rId9" name="CheckBox18"/>
      </mc:Fallback>
    </mc:AlternateContent>
    <mc:AlternateContent xmlns:mc="http://schemas.openxmlformats.org/markup-compatibility/2006">
      <mc:Choice Requires="x14">
        <control shapeId="3303" r:id="rId10" name="CheckBox17">
          <controlPr defaultSize="0" autoLine="0" linkedCell="K48" r:id="rId5">
            <anchor moveWithCells="1">
              <from>
                <xdr:col>0</xdr:col>
                <xdr:colOff>114300</xdr:colOff>
                <xdr:row>47</xdr:row>
                <xdr:rowOff>38100</xdr:rowOff>
              </from>
              <to>
                <xdr:col>0</xdr:col>
                <xdr:colOff>276225</xdr:colOff>
                <xdr:row>47</xdr:row>
                <xdr:rowOff>219075</xdr:rowOff>
              </to>
            </anchor>
          </controlPr>
        </control>
      </mc:Choice>
      <mc:Fallback>
        <control shapeId="3303" r:id="rId10" name="CheckBox17"/>
      </mc:Fallback>
    </mc:AlternateContent>
    <mc:AlternateContent xmlns:mc="http://schemas.openxmlformats.org/markup-compatibility/2006">
      <mc:Choice Requires="x14">
        <control shapeId="3302" r:id="rId11" name="CheckBox16">
          <controlPr defaultSize="0" autoLine="0" linkedCell="K41" r:id="rId5">
            <anchor moveWithCells="1">
              <from>
                <xdr:col>0</xdr:col>
                <xdr:colOff>114300</xdr:colOff>
                <xdr:row>40</xdr:row>
                <xdr:rowOff>38100</xdr:rowOff>
              </from>
              <to>
                <xdr:col>0</xdr:col>
                <xdr:colOff>276225</xdr:colOff>
                <xdr:row>40</xdr:row>
                <xdr:rowOff>219075</xdr:rowOff>
              </to>
            </anchor>
          </controlPr>
        </control>
      </mc:Choice>
      <mc:Fallback>
        <control shapeId="3302" r:id="rId11" name="CheckBox16"/>
      </mc:Fallback>
    </mc:AlternateContent>
    <mc:AlternateContent xmlns:mc="http://schemas.openxmlformats.org/markup-compatibility/2006">
      <mc:Choice Requires="x14">
        <control shapeId="3301" r:id="rId12" name="CheckBox15">
          <controlPr defaultSize="0" autoLine="0" linkedCell="K38" r:id="rId5">
            <anchor moveWithCells="1">
              <from>
                <xdr:col>0</xdr:col>
                <xdr:colOff>114300</xdr:colOff>
                <xdr:row>37</xdr:row>
                <xdr:rowOff>38100</xdr:rowOff>
              </from>
              <to>
                <xdr:col>0</xdr:col>
                <xdr:colOff>276225</xdr:colOff>
                <xdr:row>37</xdr:row>
                <xdr:rowOff>219075</xdr:rowOff>
              </to>
            </anchor>
          </controlPr>
        </control>
      </mc:Choice>
      <mc:Fallback>
        <control shapeId="3301" r:id="rId12" name="CheckBox15"/>
      </mc:Fallback>
    </mc:AlternateContent>
    <mc:AlternateContent xmlns:mc="http://schemas.openxmlformats.org/markup-compatibility/2006">
      <mc:Choice Requires="x14">
        <control shapeId="3300" r:id="rId13" name="CheckBox14">
          <controlPr defaultSize="0" autoLine="0" linkedCell="J31" r:id="rId5">
            <anchor moveWithCells="1">
              <from>
                <xdr:col>2</xdr:col>
                <xdr:colOff>19050</xdr:colOff>
                <xdr:row>30</xdr:row>
                <xdr:rowOff>9525</xdr:rowOff>
              </from>
              <to>
                <xdr:col>2</xdr:col>
                <xdr:colOff>180975</xdr:colOff>
                <xdr:row>30</xdr:row>
                <xdr:rowOff>190500</xdr:rowOff>
              </to>
            </anchor>
          </controlPr>
        </control>
      </mc:Choice>
      <mc:Fallback>
        <control shapeId="3300" r:id="rId13" name="CheckBox14"/>
      </mc:Fallback>
    </mc:AlternateContent>
    <mc:AlternateContent xmlns:mc="http://schemas.openxmlformats.org/markup-compatibility/2006">
      <mc:Choice Requires="x14">
        <control shapeId="3299" r:id="rId14" name="CheckBox13">
          <controlPr defaultSize="0" autoLine="0" linkedCell="J30" r:id="rId5">
            <anchor moveWithCells="1">
              <from>
                <xdr:col>2</xdr:col>
                <xdr:colOff>19050</xdr:colOff>
                <xdr:row>29</xdr:row>
                <xdr:rowOff>19050</xdr:rowOff>
              </from>
              <to>
                <xdr:col>2</xdr:col>
                <xdr:colOff>180975</xdr:colOff>
                <xdr:row>29</xdr:row>
                <xdr:rowOff>200025</xdr:rowOff>
              </to>
            </anchor>
          </controlPr>
        </control>
      </mc:Choice>
      <mc:Fallback>
        <control shapeId="3299" r:id="rId14" name="CheckBox13"/>
      </mc:Fallback>
    </mc:AlternateContent>
    <mc:AlternateContent xmlns:mc="http://schemas.openxmlformats.org/markup-compatibility/2006">
      <mc:Choice Requires="x14">
        <control shapeId="3298" r:id="rId15" name="CheckBox12">
          <controlPr defaultSize="0" autoLine="0" linkedCell="J29" r:id="rId5">
            <anchor moveWithCells="1">
              <from>
                <xdr:col>2</xdr:col>
                <xdr:colOff>19050</xdr:colOff>
                <xdr:row>28</xdr:row>
                <xdr:rowOff>28575</xdr:rowOff>
              </from>
              <to>
                <xdr:col>2</xdr:col>
                <xdr:colOff>180975</xdr:colOff>
                <xdr:row>28</xdr:row>
                <xdr:rowOff>209550</xdr:rowOff>
              </to>
            </anchor>
          </controlPr>
        </control>
      </mc:Choice>
      <mc:Fallback>
        <control shapeId="3298" r:id="rId15" name="CheckBox12"/>
      </mc:Fallback>
    </mc:AlternateContent>
    <mc:AlternateContent xmlns:mc="http://schemas.openxmlformats.org/markup-compatibility/2006">
      <mc:Choice Requires="x14">
        <control shapeId="3297" r:id="rId16" name="CheckBox11">
          <controlPr defaultSize="0" autoLine="0" linkedCell="J25" r:id="rId5">
            <anchor moveWithCells="1">
              <from>
                <xdr:col>2</xdr:col>
                <xdr:colOff>19050</xdr:colOff>
                <xdr:row>24</xdr:row>
                <xdr:rowOff>9525</xdr:rowOff>
              </from>
              <to>
                <xdr:col>2</xdr:col>
                <xdr:colOff>180975</xdr:colOff>
                <xdr:row>24</xdr:row>
                <xdr:rowOff>190500</xdr:rowOff>
              </to>
            </anchor>
          </controlPr>
        </control>
      </mc:Choice>
      <mc:Fallback>
        <control shapeId="3297" r:id="rId16" name="CheckBox11"/>
      </mc:Fallback>
    </mc:AlternateContent>
    <mc:AlternateContent xmlns:mc="http://schemas.openxmlformats.org/markup-compatibility/2006">
      <mc:Choice Requires="x14">
        <control shapeId="3296" r:id="rId17" name="CheckBox10">
          <controlPr defaultSize="0" autoLine="0" linkedCell="J24" r:id="rId5">
            <anchor moveWithCells="1">
              <from>
                <xdr:col>2</xdr:col>
                <xdr:colOff>19050</xdr:colOff>
                <xdr:row>23</xdr:row>
                <xdr:rowOff>19050</xdr:rowOff>
              </from>
              <to>
                <xdr:col>2</xdr:col>
                <xdr:colOff>180975</xdr:colOff>
                <xdr:row>23</xdr:row>
                <xdr:rowOff>200025</xdr:rowOff>
              </to>
            </anchor>
          </controlPr>
        </control>
      </mc:Choice>
      <mc:Fallback>
        <control shapeId="3296" r:id="rId17" name="CheckBox10"/>
      </mc:Fallback>
    </mc:AlternateContent>
    <mc:AlternateContent xmlns:mc="http://schemas.openxmlformats.org/markup-compatibility/2006">
      <mc:Choice Requires="x14">
        <control shapeId="3295" r:id="rId18" name="CheckBox9">
          <controlPr defaultSize="0" autoLine="0" linkedCell="J23" r:id="rId5">
            <anchor moveWithCells="1">
              <from>
                <xdr:col>2</xdr:col>
                <xdr:colOff>19050</xdr:colOff>
                <xdr:row>22</xdr:row>
                <xdr:rowOff>28575</xdr:rowOff>
              </from>
              <to>
                <xdr:col>2</xdr:col>
                <xdr:colOff>180975</xdr:colOff>
                <xdr:row>22</xdr:row>
                <xdr:rowOff>209550</xdr:rowOff>
              </to>
            </anchor>
          </controlPr>
        </control>
      </mc:Choice>
      <mc:Fallback>
        <control shapeId="3295" r:id="rId18" name="CheckBox9"/>
      </mc:Fallback>
    </mc:AlternateContent>
    <mc:AlternateContent xmlns:mc="http://schemas.openxmlformats.org/markup-compatibility/2006">
      <mc:Choice Requires="x14">
        <control shapeId="3294" r:id="rId19" name="CheckBox8">
          <controlPr defaultSize="0" autoLine="0" linkedCell="J19" r:id="rId5">
            <anchor moveWithCells="1">
              <from>
                <xdr:col>2</xdr:col>
                <xdr:colOff>19050</xdr:colOff>
                <xdr:row>18</xdr:row>
                <xdr:rowOff>19050</xdr:rowOff>
              </from>
              <to>
                <xdr:col>2</xdr:col>
                <xdr:colOff>180975</xdr:colOff>
                <xdr:row>18</xdr:row>
                <xdr:rowOff>200025</xdr:rowOff>
              </to>
            </anchor>
          </controlPr>
        </control>
      </mc:Choice>
      <mc:Fallback>
        <control shapeId="3294" r:id="rId19" name="CheckBox8"/>
      </mc:Fallback>
    </mc:AlternateContent>
    <mc:AlternateContent xmlns:mc="http://schemas.openxmlformats.org/markup-compatibility/2006">
      <mc:Choice Requires="x14">
        <control shapeId="3293" r:id="rId20" name="CheckBox7">
          <controlPr defaultSize="0" autoLine="0" linkedCell="J18" r:id="rId5">
            <anchor moveWithCells="1">
              <from>
                <xdr:col>2</xdr:col>
                <xdr:colOff>19050</xdr:colOff>
                <xdr:row>17</xdr:row>
                <xdr:rowOff>28575</xdr:rowOff>
              </from>
              <to>
                <xdr:col>2</xdr:col>
                <xdr:colOff>180975</xdr:colOff>
                <xdr:row>17</xdr:row>
                <xdr:rowOff>209550</xdr:rowOff>
              </to>
            </anchor>
          </controlPr>
        </control>
      </mc:Choice>
      <mc:Fallback>
        <control shapeId="3293" r:id="rId20" name="CheckBox7"/>
      </mc:Fallback>
    </mc:AlternateContent>
    <mc:AlternateContent xmlns:mc="http://schemas.openxmlformats.org/markup-compatibility/2006">
      <mc:Choice Requires="x14">
        <control shapeId="3292" r:id="rId21" name="CheckBox6">
          <controlPr defaultSize="0" autoLine="0" linkedCell="J17" r:id="rId5">
            <anchor moveWithCells="1">
              <from>
                <xdr:col>2</xdr:col>
                <xdr:colOff>19050</xdr:colOff>
                <xdr:row>16</xdr:row>
                <xdr:rowOff>38100</xdr:rowOff>
              </from>
              <to>
                <xdr:col>2</xdr:col>
                <xdr:colOff>180975</xdr:colOff>
                <xdr:row>16</xdr:row>
                <xdr:rowOff>219075</xdr:rowOff>
              </to>
            </anchor>
          </controlPr>
        </control>
      </mc:Choice>
      <mc:Fallback>
        <control shapeId="3292" r:id="rId21" name="CheckBox6"/>
      </mc:Fallback>
    </mc:AlternateContent>
    <mc:AlternateContent xmlns:mc="http://schemas.openxmlformats.org/markup-compatibility/2006">
      <mc:Choice Requires="x14">
        <control shapeId="3291" r:id="rId22" name="CheckBox5">
          <controlPr defaultSize="0" autoLine="0" linkedCell="K12" r:id="rId5">
            <anchor moveWithCells="1">
              <from>
                <xdr:col>6</xdr:col>
                <xdr:colOff>19050</xdr:colOff>
                <xdr:row>11</xdr:row>
                <xdr:rowOff>19050</xdr:rowOff>
              </from>
              <to>
                <xdr:col>6</xdr:col>
                <xdr:colOff>180975</xdr:colOff>
                <xdr:row>11</xdr:row>
                <xdr:rowOff>200025</xdr:rowOff>
              </to>
            </anchor>
          </controlPr>
        </control>
      </mc:Choice>
      <mc:Fallback>
        <control shapeId="3291" r:id="rId22" name="CheckBox5"/>
      </mc:Fallback>
    </mc:AlternateContent>
    <mc:AlternateContent xmlns:mc="http://schemas.openxmlformats.org/markup-compatibility/2006">
      <mc:Choice Requires="x14">
        <control shapeId="3290" r:id="rId23" name="CheckBox4">
          <controlPr defaultSize="0" autoLine="0" linkedCell="K11" r:id="rId5">
            <anchor moveWithCells="1">
              <from>
                <xdr:col>6</xdr:col>
                <xdr:colOff>19050</xdr:colOff>
                <xdr:row>10</xdr:row>
                <xdr:rowOff>28575</xdr:rowOff>
              </from>
              <to>
                <xdr:col>6</xdr:col>
                <xdr:colOff>180975</xdr:colOff>
                <xdr:row>10</xdr:row>
                <xdr:rowOff>209550</xdr:rowOff>
              </to>
            </anchor>
          </controlPr>
        </control>
      </mc:Choice>
      <mc:Fallback>
        <control shapeId="3290" r:id="rId23" name="CheckBox4"/>
      </mc:Fallback>
    </mc:AlternateContent>
    <mc:AlternateContent xmlns:mc="http://schemas.openxmlformats.org/markup-compatibility/2006">
      <mc:Choice Requires="x14">
        <control shapeId="3289" r:id="rId24" name="CheckBox3">
          <controlPr defaultSize="0" autoLine="0" linkedCell="J13" r:id="rId5">
            <anchor moveWithCells="1">
              <from>
                <xdr:col>2</xdr:col>
                <xdr:colOff>19050</xdr:colOff>
                <xdr:row>12</xdr:row>
                <xdr:rowOff>19050</xdr:rowOff>
              </from>
              <to>
                <xdr:col>2</xdr:col>
                <xdr:colOff>180975</xdr:colOff>
                <xdr:row>12</xdr:row>
                <xdr:rowOff>200025</xdr:rowOff>
              </to>
            </anchor>
          </controlPr>
        </control>
      </mc:Choice>
      <mc:Fallback>
        <control shapeId="3289" r:id="rId24" name="CheckBox3"/>
      </mc:Fallback>
    </mc:AlternateContent>
    <mc:AlternateContent xmlns:mc="http://schemas.openxmlformats.org/markup-compatibility/2006">
      <mc:Choice Requires="x14">
        <control shapeId="3288" r:id="rId25" name="CheckBox2">
          <controlPr defaultSize="0" autoLine="0" linkedCell="J12" r:id="rId5">
            <anchor moveWithCells="1">
              <from>
                <xdr:col>2</xdr:col>
                <xdr:colOff>19050</xdr:colOff>
                <xdr:row>11</xdr:row>
                <xdr:rowOff>19050</xdr:rowOff>
              </from>
              <to>
                <xdr:col>2</xdr:col>
                <xdr:colOff>180975</xdr:colOff>
                <xdr:row>11</xdr:row>
                <xdr:rowOff>200025</xdr:rowOff>
              </to>
            </anchor>
          </controlPr>
        </control>
      </mc:Choice>
      <mc:Fallback>
        <control shapeId="3288" r:id="rId25" name="CheckBox2"/>
      </mc:Fallback>
    </mc:AlternateContent>
    <mc:AlternateContent xmlns:mc="http://schemas.openxmlformats.org/markup-compatibility/2006">
      <mc:Choice Requires="x14">
        <control shapeId="3285" r:id="rId26" name="CheckBox1">
          <controlPr defaultSize="0" autoLine="0" linkedCell="J11" r:id="rId5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2</xdr:col>
                <xdr:colOff>180975</xdr:colOff>
                <xdr:row>10</xdr:row>
                <xdr:rowOff>209550</xdr:rowOff>
              </to>
            </anchor>
          </controlPr>
        </control>
      </mc:Choice>
      <mc:Fallback>
        <control shapeId="3285" r:id="rId26" name="CheckBox1"/>
      </mc:Fallback>
    </mc:AlternateContent>
    <mc:AlternateContent xmlns:mc="http://schemas.openxmlformats.org/markup-compatibility/2006">
      <mc:Choice Requires="x14">
        <control shapeId="3134" r:id="rId27" name="ComboBox1">
          <controlPr defaultSize="0" autoLine="0" linkedCell="$J$49" listFillRange="$I$49:$I$50" r:id="rId28">
            <anchor moveWithCells="1">
              <from>
                <xdr:col>5</xdr:col>
                <xdr:colOff>371475</xdr:colOff>
                <xdr:row>48</xdr:row>
                <xdr:rowOff>9525</xdr:rowOff>
              </from>
              <to>
                <xdr:col>6</xdr:col>
                <xdr:colOff>1228725</xdr:colOff>
                <xdr:row>49</xdr:row>
                <xdr:rowOff>0</xdr:rowOff>
              </to>
            </anchor>
          </controlPr>
        </control>
      </mc:Choice>
      <mc:Fallback>
        <control shapeId="3134" r:id="rId27" name="Combo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errorStyle="information" allowBlank="1" showErrorMessage="1" errorTitle="ungültige Eingabe" error="Geben Sie in dieses Feld bitte eine Zahl ein. Für Kommentare verwenden Sie bitte die Spalte M (rechts)." xr:uid="{00000000-0002-0000-0200-000000000000}">
          <x14:formula1>
            <xm:f>Betriebsdaten!$H$38</xm:f>
          </x14:formula1>
          <x14:formula2>
            <xm:f>Betriebsdaten!$H$39</xm:f>
          </x14:formula2>
          <xm:sqref>D11:F13 D17:F19 D23:F25 D29:F31 D14 D20 D26 D32 F14 F20 F26 F32 F34 D41:D42 E49:E50 E62:E72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/>
  <dimension ref="A1:U90"/>
  <sheetViews>
    <sheetView workbookViewId="0"/>
  </sheetViews>
  <sheetFormatPr baseColWidth="10" defaultRowHeight="12.75"/>
  <cols>
    <col min="1" max="1" width="11.7109375" customWidth="1"/>
    <col min="2" max="21" width="5.7109375" customWidth="1"/>
  </cols>
  <sheetData>
    <row r="1" spans="1:20" ht="18">
      <c r="A1" s="8" t="str">
        <f>VLOOKUP(131,K_Texte,K_SpracheSpalte,FALSE) &amp;" " &amp; K_Betriebsjahr</f>
        <v>Chemisch physikalische Daten 2025</v>
      </c>
    </row>
    <row r="2" spans="1:20" ht="13.5" thickBot="1"/>
    <row r="3" spans="1:20" ht="18" customHeight="1" thickBot="1">
      <c r="A3" s="9" t="str">
        <f>VLOOKUP(132,K_Texte,K_SpracheSpalte,FALSE)</f>
        <v>ARA:</v>
      </c>
      <c r="B3" s="10" t="str">
        <f>K_ARAName</f>
        <v>bitte hier ARA wählen</v>
      </c>
      <c r="C3" s="78"/>
      <c r="D3" s="59"/>
      <c r="E3" s="59"/>
      <c r="F3" s="59"/>
      <c r="G3" s="59"/>
      <c r="H3" s="59"/>
      <c r="I3" s="59"/>
      <c r="J3" s="59"/>
      <c r="K3" s="60"/>
      <c r="T3" s="213"/>
    </row>
    <row r="4" spans="1:20" ht="16.5" thickBot="1">
      <c r="A4" s="9" t="str">
        <f>VLOOKUP(133,K_Texte,K_SpracheSpalte,FALSE)</f>
        <v>ARA Nr.:</v>
      </c>
      <c r="B4" s="231">
        <f>K_ARANr</f>
        <v>0</v>
      </c>
      <c r="C4" s="232"/>
    </row>
    <row r="5" spans="1:20" ht="13.5" thickBot="1"/>
    <row r="6" spans="1:20">
      <c r="A6" s="67" t="str">
        <f>VLOOKUP(134,K_Texte,K_SpracheSpalte,FALSE)</f>
        <v>Monat</v>
      </c>
      <c r="B6" s="237" t="str">
        <f>VLOOKUP(147,K_Texte,K_SpracheSpalte,FALSE)</f>
        <v>Allgemeines</v>
      </c>
      <c r="C6" s="243" t="str">
        <f t="shared" ref="C6:K6" si="0">VLOOKUP(134,K_Texte,K_SpracheSpalte,FALSE)</f>
        <v>Monat</v>
      </c>
      <c r="D6" s="243" t="str">
        <f t="shared" si="0"/>
        <v>Monat</v>
      </c>
      <c r="E6" s="243" t="str">
        <f t="shared" si="0"/>
        <v>Monat</v>
      </c>
      <c r="F6" s="243" t="str">
        <f t="shared" si="0"/>
        <v>Monat</v>
      </c>
      <c r="G6" s="243" t="str">
        <f t="shared" si="0"/>
        <v>Monat</v>
      </c>
      <c r="H6" s="243" t="str">
        <f t="shared" si="0"/>
        <v>Monat</v>
      </c>
      <c r="I6" s="243" t="str">
        <f t="shared" si="0"/>
        <v>Monat</v>
      </c>
      <c r="J6" s="243" t="str">
        <f t="shared" si="0"/>
        <v>Monat</v>
      </c>
      <c r="K6" s="244" t="str">
        <f t="shared" si="0"/>
        <v>Monat</v>
      </c>
      <c r="O6" s="84" t="str">
        <f>VLOOKUP(161,K_Texte,K_SpracheSpalte,FALSE)</f>
        <v>Erklärungen (1)</v>
      </c>
    </row>
    <row r="7" spans="1:20">
      <c r="A7" s="72"/>
      <c r="B7" s="242" t="str">
        <f>VLOOKUP(148,K_Texte,K_SpracheSpalte,FALSE)</f>
        <v>Abwassermenge</v>
      </c>
      <c r="C7" s="240" t="str">
        <f>VLOOKUP(134,K_Texte,K_SpracheSpalte,FALSE)</f>
        <v>Monat</v>
      </c>
      <c r="D7" s="234" t="str">
        <f>VLOOKUP(134,K_Texte,K_SpracheSpalte,FALSE)</f>
        <v>Monat</v>
      </c>
      <c r="E7" s="233" t="str">
        <f>VLOOKUP(149,K_Texte,K_SpracheSpalte,FALSE)</f>
        <v>Wassertemperatur</v>
      </c>
      <c r="F7" s="240" t="str">
        <f>VLOOKUP(134,K_Texte,K_SpracheSpalte,FALSE)</f>
        <v>Monat</v>
      </c>
      <c r="G7" s="234" t="str">
        <f>VLOOKUP(134,K_Texte,K_SpracheSpalte,FALSE)</f>
        <v>Monat</v>
      </c>
      <c r="H7" s="233" t="str">
        <f>VLOOKUP(150,K_Texte,K_SpracheSpalte,FALSE)</f>
        <v>Probenahme</v>
      </c>
      <c r="I7" s="240" t="str">
        <f>VLOOKUP(134,K_Texte,K_SpracheSpalte,FALSE)</f>
        <v>Monat</v>
      </c>
      <c r="J7" s="240" t="str">
        <f>VLOOKUP(134,K_Texte,K_SpracheSpalte,FALSE)</f>
        <v>Monat</v>
      </c>
      <c r="K7" s="241" t="str">
        <f>VLOOKUP(134,K_Texte,K_SpracheSpalte,FALSE)</f>
        <v>Monat</v>
      </c>
      <c r="O7" t="s">
        <v>102</v>
      </c>
      <c r="P7" t="str">
        <f>VLOOKUP(162,K_Texte,K_SpracheSpalte,FALSE)</f>
        <v>Anzahl Proben</v>
      </c>
    </row>
    <row r="8" spans="1:20" ht="13.5" thickBot="1">
      <c r="A8" s="68"/>
      <c r="B8" s="63" t="str">
        <f>VLOOKUP(151,K_Texte,K_SpracheSpalte,FALSE)</f>
        <v>min. l/s</v>
      </c>
      <c r="C8" s="61" t="str">
        <f>VLOOKUP(152,K_Texte,K_SpracheSpalte,FALSE)</f>
        <v>max. l/s</v>
      </c>
      <c r="D8" s="61" t="str">
        <f>VLOOKUP(153,K_Texte,K_SpracheSpalte,FALSE)</f>
        <v>m3/d</v>
      </c>
      <c r="E8" s="61" t="str">
        <f>VLOOKUP(154,K_Texte,K_SpracheSpalte,FALSE)</f>
        <v>MPQ</v>
      </c>
      <c r="F8" s="61" t="str">
        <f>VLOOKUP(155,K_Texte,K_SpracheSpalte,FALSE)</f>
        <v>min. °C</v>
      </c>
      <c r="G8" s="61" t="str">
        <f>VLOOKUP(156,K_Texte,K_SpracheSpalte,FALSE)</f>
        <v>max. °C</v>
      </c>
      <c r="H8" s="61" t="str">
        <f>VLOOKUP(157,K_Texte,K_SpracheSpalte,FALSE)</f>
        <v>MPT</v>
      </c>
      <c r="I8" s="61" t="str">
        <f>VLOOKUP(158,K_Texte,K_SpracheSpalte,FALSE)</f>
        <v>PNA</v>
      </c>
      <c r="J8" s="61" t="str">
        <f>VLOOKUP(159,K_Texte,K_SpracheSpalte,FALSE)</f>
        <v>PNS</v>
      </c>
      <c r="K8" s="62" t="str">
        <f>VLOOKUP(160,K_Texte,K_SpracheSpalte,FALSE)</f>
        <v>PNSA</v>
      </c>
    </row>
    <row r="9" spans="1:20">
      <c r="A9" s="69" t="str">
        <f>VLOOKUP(135,K_Texte,K_SpracheSpalte,FALSE)</f>
        <v>Januar</v>
      </c>
      <c r="B9" s="64"/>
      <c r="C9" s="53"/>
      <c r="D9" s="53"/>
      <c r="E9" s="53"/>
      <c r="F9" s="53"/>
      <c r="G9" s="53"/>
      <c r="H9" s="53"/>
      <c r="I9" s="53"/>
      <c r="J9" s="53"/>
      <c r="K9" s="54"/>
      <c r="O9" t="s">
        <v>152</v>
      </c>
      <c r="P9" t="str">
        <f>VLOOKUP(163,K_Texte,K_SpracheSpalte,FALSE)</f>
        <v>Probenahmeart</v>
      </c>
    </row>
    <row r="10" spans="1:20">
      <c r="A10" s="70" t="str">
        <f>VLOOKUP(136,K_Texte,K_SpracheSpalte,FALSE)</f>
        <v>Februar</v>
      </c>
      <c r="B10" s="65"/>
      <c r="C10" s="55"/>
      <c r="D10" s="55"/>
      <c r="E10" s="55"/>
      <c r="F10" s="55"/>
      <c r="G10" s="55"/>
      <c r="H10" s="55"/>
      <c r="I10" s="55"/>
      <c r="J10" s="55"/>
      <c r="K10" s="56"/>
      <c r="O10" t="s">
        <v>183</v>
      </c>
      <c r="P10" t="str">
        <f>VLOOKUP(164,K_Texte,K_SpracheSpalte,FALSE)</f>
        <v>Sammelprobe</v>
      </c>
    </row>
    <row r="11" spans="1:20">
      <c r="A11" s="70" t="str">
        <f>VLOOKUP(137,K_Texte,K_SpracheSpalte,FALSE)</f>
        <v>März</v>
      </c>
      <c r="B11" s="65"/>
      <c r="C11" s="55"/>
      <c r="D11" s="55"/>
      <c r="E11" s="55"/>
      <c r="F11" s="55"/>
      <c r="G11" s="55"/>
      <c r="H11" s="55"/>
      <c r="I11" s="55"/>
      <c r="J11" s="55"/>
      <c r="K11" s="56"/>
      <c r="O11" t="s">
        <v>185</v>
      </c>
      <c r="P11" t="str">
        <f>VLOOKUP(165,K_Texte,K_SpracheSpalte,FALSE)</f>
        <v>Strichprobe</v>
      </c>
    </row>
    <row r="12" spans="1:20">
      <c r="A12" s="70" t="str">
        <f>VLOOKUP(138,K_Texte,K_SpracheSpalte,FALSE)</f>
        <v>April</v>
      </c>
      <c r="B12" s="65"/>
      <c r="C12" s="55"/>
      <c r="D12" s="55"/>
      <c r="E12" s="55"/>
      <c r="F12" s="55"/>
      <c r="G12" s="55"/>
      <c r="H12" s="55"/>
      <c r="I12" s="55"/>
      <c r="J12" s="55"/>
      <c r="K12" s="56"/>
    </row>
    <row r="13" spans="1:20">
      <c r="A13" s="70" t="str">
        <f>VLOOKUP(139,K_Texte,K_SpracheSpalte,FALSE)</f>
        <v>Mai</v>
      </c>
      <c r="B13" s="65"/>
      <c r="C13" s="55"/>
      <c r="D13" s="55"/>
      <c r="E13" s="55"/>
      <c r="F13" s="55"/>
      <c r="G13" s="55"/>
      <c r="H13" s="55"/>
      <c r="I13" s="55"/>
      <c r="J13" s="55"/>
      <c r="K13" s="56"/>
      <c r="O13" t="s">
        <v>187</v>
      </c>
      <c r="P13" t="str">
        <f>VLOOKUP(166,K_Texte,K_SpracheSpalte,FALSE)</f>
        <v>Probenahmestelle Zufluss</v>
      </c>
    </row>
    <row r="14" spans="1:20">
      <c r="A14" s="70" t="str">
        <f>VLOOKUP(140,K_Texte,K_SpracheSpalte,FALSE)</f>
        <v>Juni</v>
      </c>
      <c r="B14" s="65"/>
      <c r="C14" s="55"/>
      <c r="D14" s="55"/>
      <c r="E14" s="55"/>
      <c r="F14" s="55"/>
      <c r="G14" s="55"/>
      <c r="H14" s="55"/>
      <c r="I14" s="55"/>
      <c r="J14" s="55"/>
      <c r="K14" s="56"/>
      <c r="O14" t="s">
        <v>183</v>
      </c>
      <c r="P14" t="str">
        <f>VLOOKUP(167,K_Texte,K_SpracheSpalte,FALSE)</f>
        <v>Abflus Vorklärung</v>
      </c>
    </row>
    <row r="15" spans="1:20">
      <c r="A15" s="70" t="str">
        <f>VLOOKUP(141,K_Texte,K_SpracheSpalte,FALSE)</f>
        <v>Juli</v>
      </c>
      <c r="B15" s="65"/>
      <c r="C15" s="55"/>
      <c r="D15" s="55"/>
      <c r="E15" s="55"/>
      <c r="F15" s="55"/>
      <c r="G15" s="55"/>
      <c r="H15" s="55"/>
      <c r="I15" s="55"/>
      <c r="J15" s="55"/>
      <c r="K15" s="56"/>
      <c r="O15" t="s">
        <v>185</v>
      </c>
      <c r="P15" t="str">
        <f>VLOOKUP(168,K_Texte,K_SpracheSpalte,FALSE)</f>
        <v>Rohabwasser roh, homogenisiert</v>
      </c>
    </row>
    <row r="16" spans="1:20">
      <c r="A16" s="70" t="str">
        <f>VLOOKUP(142,K_Texte,K_SpracheSpalte,FALSE)</f>
        <v>August</v>
      </c>
      <c r="B16" s="65"/>
      <c r="C16" s="55"/>
      <c r="D16" s="55"/>
      <c r="E16" s="55"/>
      <c r="F16" s="55"/>
      <c r="G16" s="55"/>
      <c r="H16" s="55"/>
      <c r="I16" s="55"/>
      <c r="J16" s="55"/>
      <c r="K16" s="56"/>
      <c r="O16" t="s">
        <v>190</v>
      </c>
      <c r="P16" t="str">
        <f>VLOOKUP(169,K_Texte,K_SpracheSpalte,FALSE)</f>
        <v>abgesetztes Rohabwasser</v>
      </c>
    </row>
    <row r="17" spans="1:21">
      <c r="A17" s="70" t="str">
        <f>VLOOKUP(143,K_Texte,K_SpracheSpalte,FALSE)</f>
        <v>September</v>
      </c>
      <c r="B17" s="65"/>
      <c r="C17" s="55"/>
      <c r="D17" s="55"/>
      <c r="E17" s="55"/>
      <c r="F17" s="55"/>
      <c r="G17" s="55"/>
      <c r="H17" s="55"/>
      <c r="I17" s="55"/>
      <c r="J17" s="55"/>
      <c r="K17" s="56"/>
    </row>
    <row r="18" spans="1:21">
      <c r="A18" s="70" t="str">
        <f>VLOOKUP(144,K_Texte,K_SpracheSpalte,FALSE)</f>
        <v>Oktober</v>
      </c>
      <c r="B18" s="65"/>
      <c r="C18" s="55"/>
      <c r="D18" s="55"/>
      <c r="E18" s="55"/>
      <c r="F18" s="55"/>
      <c r="G18" s="55"/>
      <c r="H18" s="55"/>
      <c r="I18" s="55"/>
      <c r="J18" s="55"/>
      <c r="K18" s="56"/>
      <c r="O18" t="s">
        <v>154</v>
      </c>
      <c r="P18" t="str">
        <f>VLOOKUP(170,K_Texte,K_SpracheSpalte,FALSE)</f>
        <v>Probenahmestelle Abfluss</v>
      </c>
    </row>
    <row r="19" spans="1:21">
      <c r="A19" s="70" t="str">
        <f>VLOOKUP(145,K_Texte,K_SpracheSpalte,FALSE)</f>
        <v>November</v>
      </c>
      <c r="B19" s="65"/>
      <c r="C19" s="55"/>
      <c r="D19" s="55"/>
      <c r="E19" s="55"/>
      <c r="F19" s="55"/>
      <c r="G19" s="55"/>
      <c r="H19" s="55"/>
      <c r="I19" s="55"/>
      <c r="J19" s="55"/>
      <c r="K19" s="56"/>
      <c r="O19" t="s">
        <v>183</v>
      </c>
      <c r="P19" t="str">
        <f>VLOOKUP(171,K_Texte,K_SpracheSpalte,FALSE)</f>
        <v>Abfluss Nachklärbecken</v>
      </c>
    </row>
    <row r="20" spans="1:21" ht="13.5" thickBot="1">
      <c r="A20" s="71" t="str">
        <f>VLOOKUP(146,K_Texte,K_SpracheSpalte,FALSE)</f>
        <v>Dezember</v>
      </c>
      <c r="B20" s="66"/>
      <c r="C20" s="57"/>
      <c r="D20" s="57"/>
      <c r="E20" s="57"/>
      <c r="F20" s="57"/>
      <c r="G20" s="57"/>
      <c r="H20" s="57"/>
      <c r="I20" s="57"/>
      <c r="J20" s="57"/>
      <c r="K20" s="58"/>
      <c r="O20" t="s">
        <v>185</v>
      </c>
      <c r="P20" t="str">
        <f>VLOOKUP(172,K_Texte,K_SpracheSpalte,FALSE)</f>
        <v>Abfluss Filtration</v>
      </c>
    </row>
    <row r="21" spans="1:21" ht="13.5" thickBot="1"/>
    <row r="22" spans="1:21">
      <c r="A22" s="67" t="str">
        <f>VLOOKUP(134,K_Texte,K_SpracheSpalte,FALSE)</f>
        <v>Monat</v>
      </c>
      <c r="B22" s="238" t="str">
        <f>VLOOKUP(174,K_Texte,K_SpracheSpalte,FALSE)</f>
        <v>Zufluss</v>
      </c>
      <c r="C22" s="238" t="str">
        <f t="shared" ref="C22:K22" si="1">VLOOKUP(134,K_Texte,K_SpracheSpalte,FALSE)</f>
        <v>Monat</v>
      </c>
      <c r="D22" s="238" t="str">
        <f t="shared" si="1"/>
        <v>Monat</v>
      </c>
      <c r="E22" s="238" t="str">
        <f t="shared" si="1"/>
        <v>Monat</v>
      </c>
      <c r="F22" s="238" t="str">
        <f t="shared" si="1"/>
        <v>Monat</v>
      </c>
      <c r="G22" s="238" t="str">
        <f t="shared" si="1"/>
        <v>Monat</v>
      </c>
      <c r="H22" s="238" t="str">
        <f t="shared" si="1"/>
        <v>Monat</v>
      </c>
      <c r="I22" s="238" t="str">
        <f t="shared" si="1"/>
        <v>Monat</v>
      </c>
      <c r="J22" s="238" t="str">
        <f t="shared" si="1"/>
        <v>Monat</v>
      </c>
      <c r="K22" s="238" t="str">
        <f t="shared" si="1"/>
        <v>Monat</v>
      </c>
      <c r="L22" s="238" t="str">
        <f>VLOOKUP(147,K_Texte,K_SpracheSpalte,FALSE)</f>
        <v>Allgemeines</v>
      </c>
      <c r="M22" s="238" t="str">
        <f t="shared" ref="M22:U22" si="2">VLOOKUP(134,K_Texte,K_SpracheSpalte,FALSE)</f>
        <v>Monat</v>
      </c>
      <c r="N22" s="238" t="str">
        <f t="shared" si="2"/>
        <v>Monat</v>
      </c>
      <c r="O22" s="238" t="str">
        <f t="shared" si="2"/>
        <v>Monat</v>
      </c>
      <c r="P22" s="238" t="str">
        <f t="shared" si="2"/>
        <v>Monat</v>
      </c>
      <c r="Q22" s="238" t="str">
        <f t="shared" si="2"/>
        <v>Monat</v>
      </c>
      <c r="R22" s="238" t="str">
        <f t="shared" si="2"/>
        <v>Monat</v>
      </c>
      <c r="S22" s="238" t="str">
        <f t="shared" si="2"/>
        <v>Monat</v>
      </c>
      <c r="T22" s="238" t="str">
        <f t="shared" si="2"/>
        <v>Monat</v>
      </c>
      <c r="U22" s="239" t="str">
        <f t="shared" si="2"/>
        <v>Monat</v>
      </c>
    </row>
    <row r="23" spans="1:21">
      <c r="A23" s="72"/>
      <c r="B23" s="240" t="str">
        <f>VLOOKUP(175,K_Texte,K_SpracheSpalte,FALSE)</f>
        <v>pH-Wert</v>
      </c>
      <c r="C23" s="240" t="str">
        <f>VLOOKUP(134,K_Texte,K_SpracheSpalte,FALSE)</f>
        <v>Monat</v>
      </c>
      <c r="D23" s="234" t="str">
        <f>VLOOKUP(134,K_Texte,K_SpracheSpalte,FALSE)</f>
        <v>Monat</v>
      </c>
      <c r="E23" s="233" t="str">
        <f>VLOOKUP(176,K_Texte,K_SpracheSpalte,FALSE)</f>
        <v>BSB5</v>
      </c>
      <c r="F23" s="240" t="str">
        <f>VLOOKUP(134,K_Texte,K_SpracheSpalte,FALSE)</f>
        <v>Monat</v>
      </c>
      <c r="G23" s="234" t="str">
        <f>VLOOKUP(134,K_Texte,K_SpracheSpalte,FALSE)</f>
        <v>Monat</v>
      </c>
      <c r="H23" s="233" t="str">
        <f>VLOOKUP(177,K_Texte,K_SpracheSpalte,FALSE)</f>
        <v>CSB</v>
      </c>
      <c r="I23" s="234" t="str">
        <f>VLOOKUP(134,K_Texte,K_SpracheSpalte,FALSE)</f>
        <v>Monat</v>
      </c>
      <c r="J23" s="233" t="str">
        <f>VLOOKUP(178,K_Texte,K_SpracheSpalte,FALSE)</f>
        <v>TOC</v>
      </c>
      <c r="K23" s="234" t="str">
        <f>VLOOKUP(134,K_Texte,K_SpracheSpalte,FALSE)</f>
        <v>Monat</v>
      </c>
      <c r="L23" s="233" t="str">
        <f>VLOOKUP(179,K_Texte,K_SpracheSpalte,FALSE)</f>
        <v>KMnO4</v>
      </c>
      <c r="M23" s="234" t="str">
        <f>VLOOKUP(134,K_Texte,K_SpracheSpalte,FALSE)</f>
        <v>Monat</v>
      </c>
      <c r="N23" s="233" t="str">
        <f>VLOOKUP(180,K_Texte,K_SpracheSpalte,FALSE)</f>
        <v>P-gesamt</v>
      </c>
      <c r="O23" s="234" t="str">
        <f>VLOOKUP(134,K_Texte,K_SpracheSpalte,FALSE)</f>
        <v>Monat</v>
      </c>
      <c r="P23" s="233" t="str">
        <f>VLOOKUP(181,K_Texte,K_SpracheSpalte,FALSE)</f>
        <v>N-gesamt</v>
      </c>
      <c r="Q23" s="234" t="str">
        <f>VLOOKUP(134,K_Texte,K_SpracheSpalte,FALSE)</f>
        <v>Monat</v>
      </c>
      <c r="R23" s="233" t="str">
        <f>VLOOKUP(182,K_Texte,K_SpracheSpalte,FALSE)</f>
        <v>NH4-N</v>
      </c>
      <c r="S23" s="234" t="str">
        <f>VLOOKUP(134,K_Texte,K_SpracheSpalte,FALSE)</f>
        <v>Monat</v>
      </c>
      <c r="T23" s="235"/>
      <c r="U23" s="236"/>
    </row>
    <row r="24" spans="1:21" ht="13.5" thickBot="1">
      <c r="A24" s="68"/>
      <c r="B24" s="73" t="str">
        <f>VLOOKUP(183,K_Texte,K_SpracheSpalte,FALSE)</f>
        <v>min.</v>
      </c>
      <c r="C24" s="74" t="str">
        <f>VLOOKUP(184,K_Texte,K_SpracheSpalte,FALSE)</f>
        <v>max.</v>
      </c>
      <c r="D24" s="74" t="str">
        <f>VLOOKUP(185,K_Texte,K_SpracheSpalte,FALSE)</f>
        <v>A</v>
      </c>
      <c r="E24" s="74" t="str">
        <f>VLOOKUP(186,K_Texte,K_SpracheSpalte,FALSE)</f>
        <v>mg/l</v>
      </c>
      <c r="F24" s="74" t="str">
        <f>VLOOKUP(187,K_Texte,K_SpracheSpalte,FALSE)</f>
        <v>ATH</v>
      </c>
      <c r="G24" s="74" t="str">
        <f>VLOOKUP(188,K_Texte,K_SpracheSpalte,FALSE)</f>
        <v>A</v>
      </c>
      <c r="H24" s="74" t="str">
        <f>VLOOKUP(189,K_Texte,K_SpracheSpalte,FALSE)</f>
        <v>mg/l</v>
      </c>
      <c r="I24" s="74" t="str">
        <f>VLOOKUP(190,K_Texte,K_SpracheSpalte,FALSE)</f>
        <v>A</v>
      </c>
      <c r="J24" s="74" t="str">
        <f>VLOOKUP(191,K_Texte,K_SpracheSpalte,FALSE)</f>
        <v>mg/l</v>
      </c>
      <c r="K24" s="74" t="str">
        <f>VLOOKUP(192,K_Texte,K_SpracheSpalte,FALSE)</f>
        <v>A</v>
      </c>
      <c r="L24" s="74" t="str">
        <f>VLOOKUP(193,K_Texte,K_SpracheSpalte,FALSE)</f>
        <v>mg/l</v>
      </c>
      <c r="M24" s="74" t="str">
        <f>VLOOKUP(194,K_Texte,K_SpracheSpalte,FALSE)</f>
        <v>A</v>
      </c>
      <c r="N24" s="74" t="str">
        <f>VLOOKUP(195,K_Texte,K_SpracheSpalte,FALSE)</f>
        <v>mg/l</v>
      </c>
      <c r="O24" s="74" t="str">
        <f>VLOOKUP(196,K_Texte,K_SpracheSpalte,FALSE)</f>
        <v>A</v>
      </c>
      <c r="P24" s="74" t="str">
        <f>VLOOKUP(197,K_Texte,K_SpracheSpalte,FALSE)</f>
        <v>mg/l</v>
      </c>
      <c r="Q24" s="74" t="str">
        <f>VLOOKUP(198,K_Texte,K_SpracheSpalte,FALSE)</f>
        <v>A</v>
      </c>
      <c r="R24" s="74" t="str">
        <f>VLOOKUP(199,K_Texte,K_SpracheSpalte,FALSE)</f>
        <v>mg/l</v>
      </c>
      <c r="S24" s="74" t="str">
        <f>VLOOKUP(200,K_Texte,K_SpracheSpalte,FALSE)</f>
        <v>A</v>
      </c>
      <c r="T24" s="76"/>
      <c r="U24" s="77"/>
    </row>
    <row r="25" spans="1:21">
      <c r="A25" s="69" t="str">
        <f>VLOOKUP(135,K_Texte,K_SpracheSpalte,FALSE)</f>
        <v>Januar</v>
      </c>
      <c r="B25" s="64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4"/>
    </row>
    <row r="26" spans="1:21">
      <c r="A26" s="70" t="str">
        <f>VLOOKUP(136,K_Texte,K_SpracheSpalte,FALSE)</f>
        <v>Februar</v>
      </c>
      <c r="B26" s="6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6"/>
    </row>
    <row r="27" spans="1:21">
      <c r="A27" s="70" t="str">
        <f>VLOOKUP(137,K_Texte,K_SpracheSpalte,FALSE)</f>
        <v>März</v>
      </c>
      <c r="B27" s="6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6"/>
    </row>
    <row r="28" spans="1:21">
      <c r="A28" s="70" t="str">
        <f>VLOOKUP(138,K_Texte,K_SpracheSpalte,FALSE)</f>
        <v>April</v>
      </c>
      <c r="B28" s="6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6"/>
    </row>
    <row r="29" spans="1:21">
      <c r="A29" s="70" t="str">
        <f>VLOOKUP(139,K_Texte,K_SpracheSpalte,FALSE)</f>
        <v>Mai</v>
      </c>
      <c r="B29" s="6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6"/>
    </row>
    <row r="30" spans="1:21">
      <c r="A30" s="70" t="str">
        <f>VLOOKUP(140,K_Texte,K_SpracheSpalte,FALSE)</f>
        <v>Juni</v>
      </c>
      <c r="B30" s="6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6"/>
    </row>
    <row r="31" spans="1:21">
      <c r="A31" s="70" t="str">
        <f>VLOOKUP(141,K_Texte,K_SpracheSpalte,FALSE)</f>
        <v>Juli</v>
      </c>
      <c r="B31" s="6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6"/>
    </row>
    <row r="32" spans="1:21">
      <c r="A32" s="70" t="str">
        <f>VLOOKUP(142,K_Texte,K_SpracheSpalte,FALSE)</f>
        <v>August</v>
      </c>
      <c r="B32" s="6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6"/>
    </row>
    <row r="33" spans="1:21">
      <c r="A33" s="70" t="str">
        <f>VLOOKUP(143,K_Texte,K_SpracheSpalte,FALSE)</f>
        <v>September</v>
      </c>
      <c r="B33" s="6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6"/>
    </row>
    <row r="34" spans="1:21">
      <c r="A34" s="70" t="str">
        <f>VLOOKUP(144,K_Texte,K_SpracheSpalte,FALSE)</f>
        <v>Oktober</v>
      </c>
      <c r="B34" s="6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6"/>
    </row>
    <row r="35" spans="1:21">
      <c r="A35" s="70" t="str">
        <f>VLOOKUP(145,K_Texte,K_SpracheSpalte,FALSE)</f>
        <v>November</v>
      </c>
      <c r="B35" s="6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6"/>
    </row>
    <row r="36" spans="1:21" ht="13.5" thickBot="1">
      <c r="A36" s="71" t="str">
        <f>VLOOKUP(146,K_Texte,K_SpracheSpalte,FALSE)</f>
        <v>Dezember</v>
      </c>
      <c r="B36" s="6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8"/>
    </row>
    <row r="37" spans="1:21" ht="13.5" thickBot="1"/>
    <row r="38" spans="1:21">
      <c r="A38" s="67" t="str">
        <f>VLOOKUP(134,K_Texte,K_SpracheSpalte,FALSE)</f>
        <v>Monat</v>
      </c>
      <c r="B38" s="237" t="str">
        <f>VLOOKUP(201,K_Texte,K_SpracheSpalte,FALSE)</f>
        <v>Abfluss</v>
      </c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9"/>
    </row>
    <row r="39" spans="1:21">
      <c r="A39" s="72"/>
      <c r="B39" s="242" t="str">
        <f>VLOOKUP(202,K_Texte,K_SpracheSpalte,FALSE)</f>
        <v>pH-Wert</v>
      </c>
      <c r="C39" s="240"/>
      <c r="D39" s="234"/>
      <c r="E39" s="233" t="str">
        <f>VLOOKUP(203,K_Texte,K_SpracheSpalte,FALSE)</f>
        <v>BSB5</v>
      </c>
      <c r="F39" s="240"/>
      <c r="G39" s="234"/>
      <c r="H39" s="233" t="str">
        <f>VLOOKUP(204,K_Texte,K_SpracheSpalte,FALSE)</f>
        <v>CSB</v>
      </c>
      <c r="I39" s="234"/>
      <c r="J39" s="233" t="str">
        <f>VLOOKUP(205,K_Texte,K_SpracheSpalte,FALSE)</f>
        <v>DOC</v>
      </c>
      <c r="K39" s="234"/>
      <c r="L39" s="233" t="str">
        <f>VLOOKUP(206,K_Texte,K_SpracheSpalte,FALSE)</f>
        <v>KMnO4</v>
      </c>
      <c r="M39" s="234"/>
      <c r="N39" s="233" t="str">
        <f>VLOOKUP(207,K_Texte,K_SpracheSpalte,FALSE)</f>
        <v>P-gesamt</v>
      </c>
      <c r="O39" s="234"/>
      <c r="P39" s="233" t="str">
        <f>VLOOKUP(208,K_Texte,K_SpracheSpalte,FALSE)</f>
        <v>P-ortho</v>
      </c>
      <c r="Q39" s="234"/>
      <c r="R39" s="233" t="str">
        <f>VLOOKUP(209,K_Texte,K_SpracheSpalte,FALSE)</f>
        <v>NH4-N</v>
      </c>
      <c r="S39" s="234"/>
      <c r="T39" s="233" t="str">
        <f>VLOOKUP(210,K_Texte,K_SpracheSpalte,FALSE)</f>
        <v>NO3-N</v>
      </c>
      <c r="U39" s="241"/>
    </row>
    <row r="40" spans="1:21" ht="13.5" thickBot="1">
      <c r="A40" s="68"/>
      <c r="B40" s="73" t="str">
        <f>VLOOKUP(211,K_Texte,K_SpracheSpalte,FALSE)</f>
        <v>min.</v>
      </c>
      <c r="C40" s="74" t="str">
        <f>VLOOKUP(212,K_Texte,K_SpracheSpalte,FALSE)</f>
        <v>max.</v>
      </c>
      <c r="D40" s="74" t="str">
        <f>VLOOKUP(213,K_Texte,K_SpracheSpalte,FALSE)</f>
        <v>A</v>
      </c>
      <c r="E40" s="74" t="str">
        <f>VLOOKUP(214,K_Texte,K_SpracheSpalte,FALSE)</f>
        <v>mg/l</v>
      </c>
      <c r="F40" s="74" t="str">
        <f>VLOOKUP(215,K_Texte,K_SpracheSpalte,FALSE)</f>
        <v>ATH</v>
      </c>
      <c r="G40" s="74" t="str">
        <f>VLOOKUP(216,K_Texte,K_SpracheSpalte,FALSE)</f>
        <v>A</v>
      </c>
      <c r="H40" s="74" t="str">
        <f>VLOOKUP(217,K_Texte,K_SpracheSpalte,FALSE)</f>
        <v>mg/l</v>
      </c>
      <c r="I40" s="74" t="str">
        <f>VLOOKUP(218,K_Texte,K_SpracheSpalte,FALSE)</f>
        <v>A</v>
      </c>
      <c r="J40" s="74" t="str">
        <f>VLOOKUP(219,K_Texte,K_SpracheSpalte,FALSE)</f>
        <v>mg/l</v>
      </c>
      <c r="K40" s="74" t="str">
        <f>VLOOKUP(220,K_Texte,K_SpracheSpalte,FALSE)</f>
        <v>A</v>
      </c>
      <c r="L40" s="74" t="str">
        <f>VLOOKUP(221,K_Texte,K_SpracheSpalte,FALSE)</f>
        <v>mg/l</v>
      </c>
      <c r="M40" s="74" t="str">
        <f>VLOOKUP(222,K_Texte,K_SpracheSpalte,FALSE)</f>
        <v>A</v>
      </c>
      <c r="N40" s="74" t="str">
        <f>VLOOKUP(223,K_Texte,K_SpracheSpalte,FALSE)</f>
        <v>mg/l</v>
      </c>
      <c r="O40" s="74" t="str">
        <f>VLOOKUP(224,K_Texte,K_SpracheSpalte,FALSE)</f>
        <v>A</v>
      </c>
      <c r="P40" s="74" t="str">
        <f>VLOOKUP(225,K_Texte,K_SpracheSpalte,FALSE)</f>
        <v>mg/l</v>
      </c>
      <c r="Q40" s="74" t="str">
        <f>VLOOKUP(226,K_Texte,K_SpracheSpalte,FALSE)</f>
        <v>A</v>
      </c>
      <c r="R40" s="74" t="str">
        <f>VLOOKUP(227,K_Texte,K_SpracheSpalte,FALSE)</f>
        <v>mg/l</v>
      </c>
      <c r="S40" s="74" t="str">
        <f>VLOOKUP(228,K_Texte,K_SpracheSpalte,FALSE)</f>
        <v>A</v>
      </c>
      <c r="T40" s="74" t="str">
        <f>VLOOKUP(229,K_Texte,K_SpracheSpalte,FALSE)</f>
        <v>mg/l</v>
      </c>
      <c r="U40" s="75" t="str">
        <f>VLOOKUP(230,K_Texte,K_SpracheSpalte,FALSE)</f>
        <v>A</v>
      </c>
    </row>
    <row r="41" spans="1:21">
      <c r="A41" s="69" t="str">
        <f>VLOOKUP(135,K_Texte,K_SpracheSpalte,FALSE)</f>
        <v>Januar</v>
      </c>
      <c r="B41" s="64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4"/>
    </row>
    <row r="42" spans="1:21">
      <c r="A42" s="70" t="str">
        <f>VLOOKUP(136,K_Texte,K_SpracheSpalte,FALSE)</f>
        <v>Februar</v>
      </c>
      <c r="B42" s="6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6"/>
    </row>
    <row r="43" spans="1:21">
      <c r="A43" s="70" t="str">
        <f>VLOOKUP(137,K_Texte,K_SpracheSpalte,FALSE)</f>
        <v>März</v>
      </c>
      <c r="B43" s="6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6"/>
    </row>
    <row r="44" spans="1:21">
      <c r="A44" s="70" t="str">
        <f>VLOOKUP(138,K_Texte,K_SpracheSpalte,FALSE)</f>
        <v>April</v>
      </c>
      <c r="B44" s="6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6"/>
    </row>
    <row r="45" spans="1:21">
      <c r="A45" s="70" t="str">
        <f>VLOOKUP(139,K_Texte,K_SpracheSpalte,FALSE)</f>
        <v>Mai</v>
      </c>
      <c r="B45" s="6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6"/>
    </row>
    <row r="46" spans="1:21">
      <c r="A46" s="70" t="str">
        <f>VLOOKUP(140,K_Texte,K_SpracheSpalte,FALSE)</f>
        <v>Juni</v>
      </c>
      <c r="B46" s="6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6"/>
    </row>
    <row r="47" spans="1:21">
      <c r="A47" s="70" t="str">
        <f>VLOOKUP(141,K_Texte,K_SpracheSpalte,FALSE)</f>
        <v>Juli</v>
      </c>
      <c r="B47" s="6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6"/>
    </row>
    <row r="48" spans="1:21">
      <c r="A48" s="70" t="str">
        <f>VLOOKUP(142,K_Texte,K_SpracheSpalte,FALSE)</f>
        <v>August</v>
      </c>
      <c r="B48" s="6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6"/>
    </row>
    <row r="49" spans="1:21">
      <c r="A49" s="70" t="str">
        <f>VLOOKUP(143,K_Texte,K_SpracheSpalte,FALSE)</f>
        <v>September</v>
      </c>
      <c r="B49" s="6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6"/>
    </row>
    <row r="50" spans="1:21">
      <c r="A50" s="70" t="str">
        <f>VLOOKUP(144,K_Texte,K_SpracheSpalte,FALSE)</f>
        <v>Oktober</v>
      </c>
      <c r="B50" s="6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6"/>
    </row>
    <row r="51" spans="1:21">
      <c r="A51" s="70" t="str">
        <f>VLOOKUP(145,K_Texte,K_SpracheSpalte,FALSE)</f>
        <v>November</v>
      </c>
      <c r="B51" s="6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6"/>
    </row>
    <row r="52" spans="1:21" ht="13.5" thickBot="1">
      <c r="A52" s="71" t="str">
        <f>VLOOKUP(146,K_Texte,K_SpracheSpalte,FALSE)</f>
        <v>Dezember</v>
      </c>
      <c r="B52" s="66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8"/>
    </row>
    <row r="53" spans="1:21" ht="13.5" thickBot="1"/>
    <row r="54" spans="1:21">
      <c r="A54" s="67" t="str">
        <f>VLOOKUP(134,K_Texte,K_SpracheSpalte,FALSE)</f>
        <v>Monat</v>
      </c>
      <c r="B54" s="237" t="str">
        <f>VLOOKUP(201,K_Texte,K_SpracheSpalte,FALSE)</f>
        <v>Abfluss</v>
      </c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9"/>
      <c r="Q54" s="84" t="str">
        <f>VLOOKUP(246,K_Texte,K_SpracheSpalte,FALSE)</f>
        <v>Erklärungen (2)</v>
      </c>
    </row>
    <row r="55" spans="1:21">
      <c r="A55" s="72"/>
      <c r="B55" s="242" t="str">
        <f>VLOOKUP(231,K_Texte,K_SpracheSpalte,FALSE)</f>
        <v>NO2-N</v>
      </c>
      <c r="C55" s="234"/>
      <c r="D55" s="233" t="str">
        <f>VLOOKUP(232,K_Texte,K_SpracheSpalte,FALSE)</f>
        <v>GUS</v>
      </c>
      <c r="E55" s="234"/>
      <c r="F55" s="233" t="str">
        <f>VLOOKUP(233,K_Texte,K_SpracheSpalte,FALSE)</f>
        <v>Meth-Blau</v>
      </c>
      <c r="G55" s="234"/>
      <c r="H55" s="233" t="str">
        <f>VLOOKUP(234,K_Texte,K_SpracheSpalte,FALSE)</f>
        <v>Snellen</v>
      </c>
      <c r="I55" s="234"/>
      <c r="J55" s="233" t="str">
        <f>VLOOKUP(235,K_Texte,K_SpracheSpalte,FALSE)</f>
        <v>Secchi</v>
      </c>
      <c r="K55" s="234"/>
      <c r="L55" s="235"/>
      <c r="M55" s="247"/>
      <c r="N55" s="245"/>
      <c r="O55" s="246"/>
      <c r="Q55" t="s">
        <v>147</v>
      </c>
      <c r="R55" t="str">
        <f>VLOOKUP(247,K_Texte,K_SpracheSpalte,FALSE)</f>
        <v>Messpunkt Abwassermenge</v>
      </c>
    </row>
    <row r="56" spans="1:21" ht="13.5" thickBot="1">
      <c r="A56" s="68"/>
      <c r="B56" s="73" t="str">
        <f>VLOOKUP(236,K_Texte,K_SpracheSpalte,FALSE)</f>
        <v>mg/l</v>
      </c>
      <c r="C56" s="74" t="str">
        <f>VLOOKUP(237,K_Texte,K_SpracheSpalte,FALSE)</f>
        <v>A</v>
      </c>
      <c r="D56" s="74" t="str">
        <f>VLOOKUP(238,K_Texte,K_SpracheSpalte,FALSE)</f>
        <v>mg/l</v>
      </c>
      <c r="E56" s="74" t="str">
        <f>VLOOKUP(239,K_Texte,K_SpracheSpalte,FALSE)</f>
        <v>A</v>
      </c>
      <c r="F56" s="74" t="str">
        <f>VLOOKUP(240,K_Texte,K_SpracheSpalte,FALSE)</f>
        <v>A&lt;5d</v>
      </c>
      <c r="G56" s="74" t="str">
        <f>VLOOKUP(241,K_Texte,K_SpracheSpalte,FALSE)</f>
        <v>A&gt;5d</v>
      </c>
      <c r="H56" s="74" t="str">
        <f>VLOOKUP(242,K_Texte,K_SpracheSpalte,FALSE)</f>
        <v>cm</v>
      </c>
      <c r="I56" s="74" t="str">
        <f>VLOOKUP(243,K_Texte,K_SpracheSpalte,FALSE)</f>
        <v>A</v>
      </c>
      <c r="J56" s="74" t="str">
        <f>VLOOKUP(244,K_Texte,K_SpracheSpalte,FALSE)</f>
        <v>cm</v>
      </c>
      <c r="K56" s="74" t="str">
        <f>VLOOKUP(245,K_Texte,K_SpracheSpalte,FALSE)</f>
        <v>A</v>
      </c>
      <c r="L56" s="76"/>
      <c r="M56" s="121"/>
      <c r="N56" s="57"/>
      <c r="O56" s="58"/>
      <c r="Q56" t="s">
        <v>198</v>
      </c>
      <c r="R56" t="str">
        <f>VLOOKUP(248,K_Texte,K_SpracheSpalte,FALSE)</f>
        <v>Zufluss Biologie</v>
      </c>
    </row>
    <row r="57" spans="1:21">
      <c r="A57" s="69" t="str">
        <f>VLOOKUP(135,K_Texte,K_SpracheSpalte,FALSE)</f>
        <v>Januar</v>
      </c>
      <c r="B57" s="64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122"/>
      <c r="N57" s="53"/>
      <c r="O57" s="54"/>
      <c r="Q57" t="s">
        <v>185</v>
      </c>
      <c r="R57" t="str">
        <f>VLOOKUP(249,K_Texte,K_SpracheSpalte,FALSE)</f>
        <v>Biologie</v>
      </c>
    </row>
    <row r="58" spans="1:21">
      <c r="A58" s="70" t="str">
        <f>VLOOKUP(136,K_Texte,K_SpracheSpalte,FALSE)</f>
        <v>Februar</v>
      </c>
      <c r="B58" s="6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123"/>
      <c r="N58" s="55"/>
      <c r="O58" s="56"/>
      <c r="Q58" t="s">
        <v>190</v>
      </c>
      <c r="R58" t="str">
        <f>VLOOKUP(250,K_Texte,K_SpracheSpalte,FALSE)</f>
        <v>Abfluss ARA</v>
      </c>
    </row>
    <row r="59" spans="1:21">
      <c r="A59" s="70" t="str">
        <f>VLOOKUP(137,K_Texte,K_SpracheSpalte,FALSE)</f>
        <v>März</v>
      </c>
      <c r="B59" s="6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123"/>
      <c r="N59" s="55"/>
      <c r="O59" s="56"/>
    </row>
    <row r="60" spans="1:21">
      <c r="A60" s="70" t="str">
        <f>VLOOKUP(138,K_Texte,K_SpracheSpalte,FALSE)</f>
        <v>April</v>
      </c>
      <c r="B60" s="6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123"/>
      <c r="N60" s="55"/>
      <c r="O60" s="56"/>
      <c r="Q60" t="s">
        <v>151</v>
      </c>
      <c r="R60" t="str">
        <f>VLOOKUP(251,K_Texte,K_SpracheSpalte,FALSE)</f>
        <v>Messpunkt Temperatur</v>
      </c>
    </row>
    <row r="61" spans="1:21">
      <c r="A61" s="70" t="str">
        <f>VLOOKUP(139,K_Texte,K_SpracheSpalte,FALSE)</f>
        <v>Mai</v>
      </c>
      <c r="B61" s="6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123"/>
      <c r="N61" s="55"/>
      <c r="O61" s="56"/>
      <c r="Q61" t="s">
        <v>198</v>
      </c>
      <c r="R61" t="str">
        <f>VLOOKUP(252,K_Texte,K_SpracheSpalte,FALSE)</f>
        <v>Zufluss Biologie</v>
      </c>
    </row>
    <row r="62" spans="1:21">
      <c r="A62" s="70" t="str">
        <f>VLOOKUP(140,K_Texte,K_SpracheSpalte,FALSE)</f>
        <v>Juni</v>
      </c>
      <c r="B62" s="6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123"/>
      <c r="N62" s="55"/>
      <c r="O62" s="56"/>
      <c r="Q62" t="s">
        <v>185</v>
      </c>
      <c r="R62" t="str">
        <f>VLOOKUP(253,K_Texte,K_SpracheSpalte,FALSE)</f>
        <v>Biologie</v>
      </c>
    </row>
    <row r="63" spans="1:21">
      <c r="A63" s="70" t="str">
        <f>VLOOKUP(141,K_Texte,K_SpracheSpalte,FALSE)</f>
        <v>Juli</v>
      </c>
      <c r="B63" s="6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123"/>
      <c r="N63" s="55"/>
      <c r="O63" s="56"/>
      <c r="Q63" t="s">
        <v>190</v>
      </c>
      <c r="R63" t="str">
        <f>VLOOKUP(254,K_Texte,K_SpracheSpalte,FALSE)</f>
        <v>Abfluss ARA</v>
      </c>
    </row>
    <row r="64" spans="1:21">
      <c r="A64" s="70" t="str">
        <f>VLOOKUP(142,K_Texte,K_SpracheSpalte,FALSE)</f>
        <v>August</v>
      </c>
      <c r="B64" s="6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123"/>
      <c r="N64" s="55"/>
      <c r="O64" s="56"/>
    </row>
    <row r="65" spans="1:21">
      <c r="A65" s="70" t="str">
        <f>VLOOKUP(143,K_Texte,K_SpracheSpalte,FALSE)</f>
        <v>September</v>
      </c>
      <c r="B65" s="6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123"/>
      <c r="N65" s="55"/>
      <c r="O65" s="56"/>
      <c r="Q65" t="s">
        <v>161</v>
      </c>
      <c r="R65" t="str">
        <f>VLOOKUP(255,K_Texte,K_SpracheSpalte,FALSE)</f>
        <v>Allylthioharnstoff</v>
      </c>
    </row>
    <row r="66" spans="1:21">
      <c r="A66" s="70" t="str">
        <f>VLOOKUP(144,K_Texte,K_SpracheSpalte,FALSE)</f>
        <v>Oktober</v>
      </c>
      <c r="B66" s="6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123"/>
      <c r="N66" s="55"/>
      <c r="O66" s="56"/>
      <c r="Q66" t="s">
        <v>183</v>
      </c>
      <c r="R66" t="str">
        <f>VLOOKUP(256,K_Texte,K_SpracheSpalte,FALSE)</f>
        <v>mit ATH-Zugabe</v>
      </c>
    </row>
    <row r="67" spans="1:21">
      <c r="A67" s="70" t="str">
        <f>VLOOKUP(145,K_Texte,K_SpracheSpalte,FALSE)</f>
        <v>November</v>
      </c>
      <c r="B67" s="6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123"/>
      <c r="N67" s="55"/>
      <c r="O67" s="56"/>
      <c r="Q67" t="s">
        <v>185</v>
      </c>
      <c r="R67" t="str">
        <f>VLOOKUP(257,K_Texte,K_SpracheSpalte,FALSE)</f>
        <v>ohne ATH-Zugabe</v>
      </c>
    </row>
    <row r="68" spans="1:21" ht="13.5" thickBot="1">
      <c r="A68" s="71" t="str">
        <f>VLOOKUP(146,K_Texte,K_SpracheSpalte,FALSE)</f>
        <v>Dezember</v>
      </c>
      <c r="B68" s="66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124"/>
      <c r="N68" s="57"/>
      <c r="O68" s="58"/>
    </row>
    <row r="71" spans="1:21" ht="13.5" thickBot="1">
      <c r="A71" s="119" t="str">
        <f>VLOOKUP(258,K_Texte,K_SpracheSpalte,FALSE)</f>
        <v>Bemerkungen</v>
      </c>
    </row>
    <row r="72" spans="1:21">
      <c r="B72" s="131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3"/>
    </row>
    <row r="73" spans="1:21">
      <c r="B73" s="134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35"/>
    </row>
    <row r="74" spans="1:21">
      <c r="B74" s="134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35"/>
    </row>
    <row r="75" spans="1:21">
      <c r="B75" s="134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35"/>
    </row>
    <row r="76" spans="1:21">
      <c r="B76" s="134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35"/>
    </row>
    <row r="77" spans="1:21">
      <c r="B77" s="134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35"/>
    </row>
    <row r="78" spans="1:21">
      <c r="B78" s="134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35"/>
    </row>
    <row r="79" spans="1:21">
      <c r="B79" s="134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35"/>
    </row>
    <row r="80" spans="1:21">
      <c r="B80" s="134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35"/>
    </row>
    <row r="81" spans="2:21">
      <c r="B81" s="134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35"/>
    </row>
    <row r="82" spans="2:21">
      <c r="B82" s="134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35"/>
    </row>
    <row r="83" spans="2:21">
      <c r="B83" s="134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35"/>
    </row>
    <row r="84" spans="2:21">
      <c r="B84" s="134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35"/>
    </row>
    <row r="85" spans="2:21">
      <c r="B85" s="134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35"/>
    </row>
    <row r="86" spans="2:21">
      <c r="B86" s="134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35"/>
    </row>
    <row r="87" spans="2:21">
      <c r="B87" s="134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35"/>
    </row>
    <row r="88" spans="2:21">
      <c r="B88" s="134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35"/>
    </row>
    <row r="89" spans="2:21">
      <c r="B89" s="134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35"/>
    </row>
    <row r="90" spans="2:21" ht="13.5" thickBot="1">
      <c r="B90" s="136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8"/>
    </row>
  </sheetData>
  <sheetProtection sheet="1" objects="1" scenarios="1"/>
  <mergeCells count="33">
    <mergeCell ref="F55:G55"/>
    <mergeCell ref="H39:I39"/>
    <mergeCell ref="E39:G39"/>
    <mergeCell ref="B39:D39"/>
    <mergeCell ref="B54:O54"/>
    <mergeCell ref="N55:O55"/>
    <mergeCell ref="D55:E55"/>
    <mergeCell ref="B55:C55"/>
    <mergeCell ref="L55:M55"/>
    <mergeCell ref="J55:K55"/>
    <mergeCell ref="H55:I55"/>
    <mergeCell ref="J39:K39"/>
    <mergeCell ref="T39:U39"/>
    <mergeCell ref="R39:S39"/>
    <mergeCell ref="P39:Q39"/>
    <mergeCell ref="N39:O39"/>
    <mergeCell ref="L39:M39"/>
    <mergeCell ref="B4:C4"/>
    <mergeCell ref="P23:Q23"/>
    <mergeCell ref="R23:S23"/>
    <mergeCell ref="T23:U23"/>
    <mergeCell ref="B38:U38"/>
    <mergeCell ref="L23:M23"/>
    <mergeCell ref="N23:O23"/>
    <mergeCell ref="B22:U22"/>
    <mergeCell ref="H7:K7"/>
    <mergeCell ref="E7:G7"/>
    <mergeCell ref="B7:D7"/>
    <mergeCell ref="B6:K6"/>
    <mergeCell ref="B23:D23"/>
    <mergeCell ref="E23:G23"/>
    <mergeCell ref="H23:I23"/>
    <mergeCell ref="J23:K23"/>
  </mergeCells>
  <phoneticPr fontId="2" type="noConversion"/>
  <pageMargins left="0.59055118110236227" right="0.59055118110236227" top="0.78740157480314965" bottom="0.78740157480314965" header="0.39370078740157483" footer="0.39370078740157483"/>
  <pageSetup paperSize="9" orientation="landscape" horizontalDpi="300" verticalDpi="300" r:id="rId1"/>
  <headerFooter alignWithMargins="0">
    <oddFooter>&amp;LANU/A/Ho&amp;CSeite &amp;P / &amp;N&amp;R&amp;8&amp;Z&amp;F, &amp;A
&amp;D</oddFooter>
  </headerFooter>
  <rowBreaks count="2" manualBreakCount="2">
    <brk id="36" max="20" man="1"/>
    <brk id="69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1"/>
  <dimension ref="A1:O28"/>
  <sheetViews>
    <sheetView workbookViewId="0"/>
  </sheetViews>
  <sheetFormatPr baseColWidth="10" defaultRowHeight="12.75"/>
  <cols>
    <col min="1" max="1" width="10.7109375" customWidth="1"/>
    <col min="2" max="2" width="35.7109375" customWidth="1"/>
    <col min="3" max="3" width="30.7109375" customWidth="1"/>
    <col min="4" max="10" width="4.7109375" customWidth="1"/>
    <col min="11" max="12" width="13.7109375" customWidth="1"/>
    <col min="13" max="13" width="1.7109375" customWidth="1"/>
    <col min="14" max="14" width="11.42578125" hidden="1" customWidth="1"/>
    <col min="15" max="15" width="1.7109375" hidden="1" customWidth="1"/>
  </cols>
  <sheetData>
    <row r="1" spans="1:14" ht="18">
      <c r="A1" s="8" t="str">
        <f>VLOOKUP(271,K_Texte,K_SpracheSpalte,FALSE) &amp; " " &amp; K_Betriebsjahr</f>
        <v>Klärschlamm-Abnehmerverzeichnis 2025</v>
      </c>
    </row>
    <row r="2" spans="1:14" ht="18">
      <c r="A2" s="8" t="str">
        <f>VLOOKUP(272,K_Texte,K_SpracheSpalte,FALSE)</f>
        <v>A: Düngung</v>
      </c>
    </row>
    <row r="3" spans="1:14" ht="12.75" customHeight="1" thickBot="1"/>
    <row r="4" spans="1:14" s="7" customFormat="1" ht="18" customHeight="1" thickBot="1">
      <c r="A4" s="6" t="str">
        <f>VLOOKUP(4,K_Texte,K_SpracheSpalte,FALSE)</f>
        <v>ARA Name</v>
      </c>
      <c r="C4" s="79" t="str">
        <f>K_ARAName</f>
        <v>bitte hier ARA wählen</v>
      </c>
      <c r="D4" s="80"/>
      <c r="E4" s="80"/>
      <c r="F4" s="80"/>
      <c r="G4" s="80"/>
      <c r="H4" s="81"/>
      <c r="I4" s="6"/>
      <c r="J4" s="6"/>
      <c r="K4" s="6" t="str">
        <f>VLOOKUP(5,K_Texte,K_SpracheSpalte,FALSE)</f>
        <v>ARA Nr.</v>
      </c>
      <c r="L4" s="85">
        <f>K_ARANr</f>
        <v>0</v>
      </c>
    </row>
    <row r="5" spans="1:14" ht="12.75" customHeight="1" thickBot="1"/>
    <row r="6" spans="1:14" ht="18" customHeight="1" thickBot="1">
      <c r="A6" s="223"/>
      <c r="B6" s="86" t="str">
        <f>K_Betriebsjahr &amp; " " &amp; VLOOKUP(273,K_Texte,K_SpracheSpalte,FALSE)</f>
        <v>2025 wurde kein Klärschlamm zur Düngung abgegeben.</v>
      </c>
      <c r="N6" s="49" t="b">
        <v>0</v>
      </c>
    </row>
    <row r="8" spans="1:14" ht="18" customHeight="1">
      <c r="A8" t="str">
        <f>VLOOKUP(274,K_Texte,K_SpracheSpalte,FALSE)</f>
        <v>Erklärungen: W: Wiesland, A: Ackerland, Hyg: Hygienisiert, FS: flüssiger Klärschlamm (KS), ES: entwässerter KS, GS: getrockneter KS, KK: kompostierter KS</v>
      </c>
    </row>
    <row r="9" spans="1:14" ht="12.75" customHeight="1" thickBot="1"/>
    <row r="10" spans="1:14" ht="42" customHeight="1" thickBot="1">
      <c r="A10" s="47" t="str">
        <f>VLOOKUP(275,K_Texte,K_SpracheSpalte,FALSE)</f>
        <v>Datum der Lieferung</v>
      </c>
      <c r="B10" s="47" t="str">
        <f>VLOOKUP(276,K_Texte,K_SpracheSpalte,FALSE)</f>
        <v>Name/Vorname und/oder Firmenname der Abnehmer</v>
      </c>
      <c r="C10" s="47" t="str">
        <f>VLOOKUP(277,K_Texte,K_SpracheSpalte,FALSE)</f>
        <v>Adresse des Abnehmers</v>
      </c>
      <c r="D10" s="48" t="str">
        <f>VLOOKUP(278,K_Texte,K_SpracheSpalte,FALSE)</f>
        <v>W</v>
      </c>
      <c r="E10" s="48" t="str">
        <f>VLOOKUP(279,K_Texte,K_SpracheSpalte,FALSE)</f>
        <v>A</v>
      </c>
      <c r="F10" s="48" t="str">
        <f>VLOOKUP(280,K_Texte,K_SpracheSpalte,FALSE)</f>
        <v>Hyg</v>
      </c>
      <c r="G10" s="48" t="str">
        <f>VLOOKUP(281,K_Texte,K_SpracheSpalte,FALSE)</f>
        <v>FS</v>
      </c>
      <c r="H10" s="48" t="str">
        <f>VLOOKUP(282,K_Texte,K_SpracheSpalte,FALSE)</f>
        <v>ES</v>
      </c>
      <c r="I10" s="48" t="str">
        <f>VLOOKUP(283,K_Texte,K_SpracheSpalte,FALSE)</f>
        <v>GS</v>
      </c>
      <c r="J10" s="48" t="str">
        <f>VLOOKUP(284,K_Texte,K_SpracheSpalte,FALSE)</f>
        <v>KK</v>
      </c>
      <c r="K10" s="48" t="str">
        <f>VLOOKUP(285,K_Texte,K_SpracheSpalte,FALSE)</f>
        <v>KS-Menge 1) 
[m3]</v>
      </c>
      <c r="L10" s="48" t="str">
        <f>VLOOKUP(286,K_Texte,K_SpracheSpalte,FALSE)</f>
        <v>Trocken-substanz 1)
 [g/kg] / [g/l]</v>
      </c>
    </row>
    <row r="11" spans="1:14" ht="18" customHeight="1" thickBot="1">
      <c r="A11" s="45"/>
      <c r="B11" s="46"/>
      <c r="C11" s="46"/>
      <c r="D11" s="227"/>
      <c r="E11" s="226"/>
      <c r="F11" s="226"/>
      <c r="G11" s="226"/>
      <c r="H11" s="226"/>
      <c r="I11" s="226"/>
      <c r="J11" s="226"/>
      <c r="K11" s="114"/>
      <c r="L11" s="115"/>
    </row>
    <row r="12" spans="1:14" ht="18" customHeight="1" thickBot="1">
      <c r="A12" s="45"/>
      <c r="B12" s="46"/>
      <c r="C12" s="46"/>
      <c r="D12" s="226"/>
      <c r="E12" s="226"/>
      <c r="F12" s="226"/>
      <c r="G12" s="226"/>
      <c r="H12" s="226"/>
      <c r="I12" s="226"/>
      <c r="J12" s="226"/>
      <c r="K12" s="114"/>
      <c r="L12" s="115"/>
    </row>
    <row r="13" spans="1:14" ht="18" customHeight="1" thickBot="1">
      <c r="A13" s="45"/>
      <c r="B13" s="46"/>
      <c r="C13" s="46"/>
      <c r="D13" s="226"/>
      <c r="E13" s="226"/>
      <c r="F13" s="226"/>
      <c r="G13" s="226"/>
      <c r="H13" s="226"/>
      <c r="I13" s="226"/>
      <c r="J13" s="226"/>
      <c r="K13" s="114"/>
      <c r="L13" s="115"/>
    </row>
    <row r="14" spans="1:14" ht="18" customHeight="1" thickBot="1">
      <c r="A14" s="45"/>
      <c r="B14" s="46"/>
      <c r="C14" s="46"/>
      <c r="D14" s="226"/>
      <c r="E14" s="226"/>
      <c r="F14" s="226"/>
      <c r="G14" s="226"/>
      <c r="H14" s="226"/>
      <c r="I14" s="226"/>
      <c r="J14" s="226"/>
      <c r="K14" s="114"/>
      <c r="L14" s="115"/>
    </row>
    <row r="15" spans="1:14" ht="18" customHeight="1" thickBot="1">
      <c r="A15" s="45"/>
      <c r="B15" s="46"/>
      <c r="C15" s="46"/>
      <c r="D15" s="226"/>
      <c r="E15" s="226"/>
      <c r="F15" s="226"/>
      <c r="G15" s="226"/>
      <c r="H15" s="226"/>
      <c r="I15" s="226"/>
      <c r="J15" s="226"/>
      <c r="K15" s="114"/>
      <c r="L15" s="115"/>
    </row>
    <row r="16" spans="1:14" ht="18" customHeight="1" thickBot="1">
      <c r="A16" s="45"/>
      <c r="B16" s="46"/>
      <c r="C16" s="46"/>
      <c r="D16" s="226"/>
      <c r="E16" s="226"/>
      <c r="F16" s="226"/>
      <c r="G16" s="226"/>
      <c r="H16" s="226"/>
      <c r="I16" s="226"/>
      <c r="J16" s="226"/>
      <c r="K16" s="114"/>
      <c r="L16" s="115"/>
    </row>
    <row r="17" spans="1:12" ht="18" customHeight="1" thickBot="1">
      <c r="A17" s="45"/>
      <c r="B17" s="46"/>
      <c r="C17" s="46"/>
      <c r="D17" s="226"/>
      <c r="E17" s="226"/>
      <c r="F17" s="226"/>
      <c r="G17" s="226"/>
      <c r="H17" s="226"/>
      <c r="I17" s="226"/>
      <c r="J17" s="226"/>
      <c r="K17" s="114"/>
      <c r="L17" s="115"/>
    </row>
    <row r="18" spans="1:12" ht="18" customHeight="1" thickBot="1">
      <c r="A18" s="45"/>
      <c r="B18" s="46"/>
      <c r="C18" s="46"/>
      <c r="D18" s="226"/>
      <c r="E18" s="226"/>
      <c r="F18" s="226"/>
      <c r="G18" s="226"/>
      <c r="H18" s="226"/>
      <c r="I18" s="226"/>
      <c r="J18" s="226"/>
      <c r="K18" s="114"/>
      <c r="L18" s="115"/>
    </row>
    <row r="19" spans="1:12" ht="18" customHeight="1" thickBot="1">
      <c r="A19" s="45"/>
      <c r="B19" s="46"/>
      <c r="C19" s="46"/>
      <c r="D19" s="226"/>
      <c r="E19" s="226"/>
      <c r="F19" s="226"/>
      <c r="G19" s="226"/>
      <c r="H19" s="226"/>
      <c r="I19" s="226"/>
      <c r="J19" s="226"/>
      <c r="K19" s="114"/>
      <c r="L19" s="115"/>
    </row>
    <row r="20" spans="1:12" ht="18" customHeight="1" thickBot="1">
      <c r="A20" s="45"/>
      <c r="B20" s="46"/>
      <c r="C20" s="46"/>
      <c r="D20" s="226"/>
      <c r="E20" s="226"/>
      <c r="F20" s="226"/>
      <c r="G20" s="226"/>
      <c r="H20" s="226"/>
      <c r="I20" s="226"/>
      <c r="J20" s="226"/>
      <c r="K20" s="114"/>
      <c r="L20" s="115"/>
    </row>
    <row r="21" spans="1:12" ht="18" customHeight="1" thickBot="1">
      <c r="A21" s="45"/>
      <c r="B21" s="46"/>
      <c r="C21" s="46"/>
      <c r="D21" s="226"/>
      <c r="E21" s="226"/>
      <c r="F21" s="226"/>
      <c r="G21" s="226"/>
      <c r="H21" s="226"/>
      <c r="I21" s="226"/>
      <c r="J21" s="226"/>
      <c r="K21" s="114"/>
      <c r="L21" s="115"/>
    </row>
    <row r="22" spans="1:12" ht="18" customHeight="1" thickBot="1">
      <c r="A22" s="45"/>
      <c r="B22" s="46"/>
      <c r="C22" s="46"/>
      <c r="D22" s="226"/>
      <c r="E22" s="226"/>
      <c r="F22" s="226"/>
      <c r="G22" s="226"/>
      <c r="H22" s="226"/>
      <c r="I22" s="226"/>
      <c r="J22" s="226"/>
      <c r="K22" s="114"/>
      <c r="L22" s="115"/>
    </row>
    <row r="23" spans="1:12" ht="18" customHeight="1" thickBot="1">
      <c r="A23" s="45"/>
      <c r="B23" s="46"/>
      <c r="C23" s="46"/>
      <c r="D23" s="226"/>
      <c r="E23" s="226"/>
      <c r="F23" s="226"/>
      <c r="G23" s="226"/>
      <c r="H23" s="226"/>
      <c r="I23" s="226"/>
      <c r="J23" s="226"/>
      <c r="K23" s="114"/>
      <c r="L23" s="115"/>
    </row>
    <row r="24" spans="1:12" ht="18" customHeight="1" thickBot="1">
      <c r="A24" s="45"/>
      <c r="B24" s="46"/>
      <c r="C24" s="46"/>
      <c r="D24" s="226"/>
      <c r="E24" s="226"/>
      <c r="F24" s="226"/>
      <c r="G24" s="226"/>
      <c r="H24" s="226"/>
      <c r="I24" s="226"/>
      <c r="J24" s="226"/>
      <c r="K24" s="114"/>
      <c r="L24" s="115"/>
    </row>
    <row r="25" spans="1:12" ht="18" customHeight="1" thickBot="1">
      <c r="A25" s="45"/>
      <c r="B25" s="46"/>
      <c r="C25" s="46"/>
      <c r="D25" s="226"/>
      <c r="E25" s="226"/>
      <c r="F25" s="226"/>
      <c r="G25" s="226"/>
      <c r="H25" s="226"/>
      <c r="I25" s="226"/>
      <c r="J25" s="226"/>
      <c r="K25" s="114"/>
      <c r="L25" s="115"/>
    </row>
    <row r="27" spans="1:12" s="2" customFormat="1" ht="18" customHeight="1" thickBot="1">
      <c r="A27" s="2" t="str">
        <f>VLOOKUP(287,K_Texte,K_SpracheSpalte,FALSE)</f>
        <v>Ort, Datum:</v>
      </c>
      <c r="B27" s="50"/>
      <c r="C27" s="51" t="str">
        <f>VLOOKUP(288,K_Texte,K_SpracheSpalte,FALSE)</f>
        <v>Stempel/Unterschrift/Visum</v>
      </c>
      <c r="D27" s="52" t="str">
        <f>VLOOKUP(289,K_Texte,K_SpracheSpalte,FALSE)</f>
        <v>Bitte vollständig ausfüllen bzw. anklicken.</v>
      </c>
    </row>
    <row r="28" spans="1:12" ht="18" customHeight="1" thickBot="1">
      <c r="A28" s="11"/>
      <c r="B28" s="12"/>
      <c r="C28" s="13"/>
      <c r="L28" s="225" t="str">
        <f>VLOOKUP(290,K_Texte,K_SpracheSpalte,FALSE)</f>
        <v>1) Werte von Lieferscheinen übernehmen</v>
      </c>
    </row>
  </sheetData>
  <sheetProtection sheet="1" objects="1" scenarios="1"/>
  <phoneticPr fontId="2" type="noConversion"/>
  <pageMargins left="0.39370078740157483" right="0.39370078740157483" top="0.59055118110236227" bottom="0.59055118110236227" header="0.39370078740157483" footer="0.39370078740157483"/>
  <pageSetup paperSize="9" orientation="landscape" horizontalDpi="300" verticalDpi="300" r:id="rId1"/>
  <headerFooter alignWithMargins="0">
    <oddFooter>&amp;LANU/A/Ho&amp;CSeite &amp;P / &amp;N&amp;R&amp;8&amp;Z&amp;F, &amp;A
&amp;D</oddFooter>
  </headerFooter>
  <drawing r:id="rId2"/>
  <legacyDrawing r:id="rId3"/>
  <controls>
    <mc:AlternateContent xmlns:mc="http://schemas.openxmlformats.org/markup-compatibility/2006">
      <mc:Choice Requires="x14">
        <control shapeId="2159" r:id="rId4" name="CheckBox1">
          <controlPr defaultSize="0" autoLine="0" linkedCell="N6" r:id="rId5">
            <anchor moveWithCells="1">
              <from>
                <xdr:col>0</xdr:col>
                <xdr:colOff>238125</xdr:colOff>
                <xdr:row>5</xdr:row>
                <xdr:rowOff>38100</xdr:rowOff>
              </from>
              <to>
                <xdr:col>0</xdr:col>
                <xdr:colOff>400050</xdr:colOff>
                <xdr:row>5</xdr:row>
                <xdr:rowOff>219075</xdr:rowOff>
              </to>
            </anchor>
          </controlPr>
        </control>
      </mc:Choice>
      <mc:Fallback>
        <control shapeId="2159" r:id="rId4" name="CheckBox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"/>
  <dimension ref="A1:D40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RowHeight="12.75"/>
  <cols>
    <col min="1" max="1" width="4.7109375" customWidth="1"/>
    <col min="2" max="3" width="50.7109375" customWidth="1"/>
  </cols>
  <sheetData>
    <row r="1" spans="1:3">
      <c r="A1" s="213" t="s">
        <v>403</v>
      </c>
      <c r="B1" s="213" t="s">
        <v>404</v>
      </c>
      <c r="C1" s="213" t="s">
        <v>405</v>
      </c>
    </row>
    <row r="2" spans="1:3">
      <c r="A2">
        <v>0</v>
      </c>
      <c r="B2" s="216" t="s">
        <v>407</v>
      </c>
      <c r="C2" s="216" t="s">
        <v>407</v>
      </c>
    </row>
    <row r="3" spans="1:3">
      <c r="A3">
        <v>1</v>
      </c>
      <c r="B3" s="213" t="s">
        <v>208</v>
      </c>
      <c r="C3" s="213" t="s">
        <v>612</v>
      </c>
    </row>
    <row r="4" spans="1:3">
      <c r="A4">
        <v>2</v>
      </c>
      <c r="B4" s="213" t="s">
        <v>207</v>
      </c>
      <c r="C4" t="s">
        <v>414</v>
      </c>
    </row>
    <row r="5" spans="1:3">
      <c r="A5">
        <v>3</v>
      </c>
      <c r="B5" t="s">
        <v>216</v>
      </c>
      <c r="C5" t="s">
        <v>415</v>
      </c>
    </row>
    <row r="6" spans="1:3">
      <c r="A6">
        <v>4</v>
      </c>
      <c r="B6" s="213" t="s">
        <v>411</v>
      </c>
      <c r="C6" t="s">
        <v>416</v>
      </c>
    </row>
    <row r="7" spans="1:3">
      <c r="A7">
        <v>5</v>
      </c>
      <c r="B7" s="213" t="s">
        <v>1</v>
      </c>
      <c r="C7" t="s">
        <v>417</v>
      </c>
    </row>
    <row r="8" spans="1:3">
      <c r="A8">
        <v>6</v>
      </c>
      <c r="B8" t="s">
        <v>2</v>
      </c>
      <c r="C8" t="s">
        <v>418</v>
      </c>
    </row>
    <row r="9" spans="1:3">
      <c r="A9">
        <v>7</v>
      </c>
      <c r="B9" t="s">
        <v>14</v>
      </c>
      <c r="C9" t="s">
        <v>419</v>
      </c>
    </row>
    <row r="10" spans="1:3">
      <c r="A10">
        <v>8</v>
      </c>
      <c r="B10" t="s">
        <v>15</v>
      </c>
      <c r="C10" t="s">
        <v>420</v>
      </c>
    </row>
    <row r="11" spans="1:3">
      <c r="A11">
        <v>9</v>
      </c>
      <c r="B11" t="s">
        <v>3</v>
      </c>
      <c r="C11" t="s">
        <v>421</v>
      </c>
    </row>
    <row r="12" spans="1:3">
      <c r="A12">
        <v>10</v>
      </c>
      <c r="B12" t="s">
        <v>4</v>
      </c>
      <c r="C12" t="s">
        <v>422</v>
      </c>
    </row>
    <row r="13" spans="1:3">
      <c r="A13">
        <v>11</v>
      </c>
      <c r="B13" t="s">
        <v>73</v>
      </c>
      <c r="C13" t="s">
        <v>423</v>
      </c>
    </row>
    <row r="14" spans="1:3">
      <c r="A14">
        <v>12</v>
      </c>
      <c r="B14" t="s">
        <v>74</v>
      </c>
      <c r="C14" t="s">
        <v>424</v>
      </c>
    </row>
    <row r="15" spans="1:3">
      <c r="A15">
        <v>13</v>
      </c>
      <c r="B15" t="s">
        <v>75</v>
      </c>
      <c r="C15" t="s">
        <v>425</v>
      </c>
    </row>
    <row r="16" spans="1:3">
      <c r="A16">
        <v>14</v>
      </c>
      <c r="B16" t="s">
        <v>7</v>
      </c>
      <c r="C16" t="s">
        <v>426</v>
      </c>
    </row>
    <row r="17" spans="1:3">
      <c r="A17">
        <v>15</v>
      </c>
      <c r="B17" t="s">
        <v>8</v>
      </c>
      <c r="C17" t="s">
        <v>427</v>
      </c>
    </row>
    <row r="18" spans="1:3">
      <c r="A18">
        <v>16</v>
      </c>
      <c r="B18" t="s">
        <v>9</v>
      </c>
      <c r="C18" t="s">
        <v>428</v>
      </c>
    </row>
    <row r="19" spans="1:3">
      <c r="A19">
        <v>17</v>
      </c>
      <c r="B19" t="s">
        <v>24</v>
      </c>
      <c r="C19" t="s">
        <v>429</v>
      </c>
    </row>
    <row r="20" spans="1:3">
      <c r="A20">
        <v>18</v>
      </c>
      <c r="B20" t="s">
        <v>26</v>
      </c>
      <c r="C20" t="s">
        <v>430</v>
      </c>
    </row>
    <row r="21" spans="1:3">
      <c r="A21">
        <v>19</v>
      </c>
      <c r="B21" t="s">
        <v>11</v>
      </c>
      <c r="C21" t="s">
        <v>431</v>
      </c>
    </row>
    <row r="22" spans="1:3">
      <c r="A22">
        <v>20</v>
      </c>
      <c r="B22" t="s">
        <v>12</v>
      </c>
      <c r="C22" t="s">
        <v>432</v>
      </c>
    </row>
    <row r="23" spans="1:3">
      <c r="A23">
        <v>21</v>
      </c>
      <c r="B23" t="s">
        <v>13</v>
      </c>
      <c r="C23" t="s">
        <v>433</v>
      </c>
    </row>
    <row r="24" spans="1:3">
      <c r="A24">
        <v>22</v>
      </c>
      <c r="B24" t="s">
        <v>16</v>
      </c>
      <c r="C24" t="s">
        <v>434</v>
      </c>
    </row>
    <row r="25" spans="1:3">
      <c r="A25">
        <v>23</v>
      </c>
      <c r="B25" t="s">
        <v>17</v>
      </c>
      <c r="C25" t="s">
        <v>435</v>
      </c>
    </row>
    <row r="26" spans="1:3">
      <c r="A26">
        <v>24</v>
      </c>
      <c r="B26" t="s">
        <v>18</v>
      </c>
      <c r="C26" t="s">
        <v>436</v>
      </c>
    </row>
    <row r="27" spans="1:3">
      <c r="A27">
        <v>25</v>
      </c>
      <c r="B27" t="s">
        <v>19</v>
      </c>
      <c r="C27" t="s">
        <v>437</v>
      </c>
    </row>
    <row r="28" spans="1:3">
      <c r="A28">
        <v>26</v>
      </c>
      <c r="B28" t="s">
        <v>25</v>
      </c>
      <c r="C28" t="s">
        <v>438</v>
      </c>
    </row>
    <row r="29" spans="1:3">
      <c r="A29">
        <v>27</v>
      </c>
      <c r="B29" t="s">
        <v>27</v>
      </c>
      <c r="C29" t="s">
        <v>439</v>
      </c>
    </row>
    <row r="30" spans="1:3">
      <c r="A30">
        <v>28</v>
      </c>
      <c r="B30" t="s">
        <v>76</v>
      </c>
      <c r="C30" t="s">
        <v>440</v>
      </c>
    </row>
    <row r="31" spans="1:3">
      <c r="A31">
        <v>29</v>
      </c>
      <c r="B31" t="s">
        <v>20</v>
      </c>
      <c r="C31" t="s">
        <v>441</v>
      </c>
    </row>
    <row r="32" spans="1:3">
      <c r="A32">
        <v>30</v>
      </c>
      <c r="B32" t="s">
        <v>21</v>
      </c>
      <c r="C32" t="s">
        <v>442</v>
      </c>
    </row>
    <row r="33" spans="1:3">
      <c r="A33">
        <v>31</v>
      </c>
      <c r="B33" t="s">
        <v>217</v>
      </c>
      <c r="C33" t="s">
        <v>415</v>
      </c>
    </row>
    <row r="34" spans="1:3">
      <c r="A34">
        <v>32</v>
      </c>
      <c r="B34" s="213" t="s">
        <v>408</v>
      </c>
      <c r="C34" s="213" t="s">
        <v>409</v>
      </c>
    </row>
    <row r="35" spans="1:3">
      <c r="A35">
        <v>33</v>
      </c>
      <c r="B35" s="213" t="s">
        <v>231</v>
      </c>
      <c r="C35" s="213" t="s">
        <v>410</v>
      </c>
    </row>
    <row r="36" spans="1:3">
      <c r="A36">
        <v>34</v>
      </c>
      <c r="B36" s="213" t="s">
        <v>232</v>
      </c>
      <c r="C36" s="213" t="s">
        <v>443</v>
      </c>
    </row>
    <row r="37" spans="1:3">
      <c r="A37">
        <v>35</v>
      </c>
      <c r="B37" s="213" t="s">
        <v>233</v>
      </c>
      <c r="C37" s="213" t="s">
        <v>412</v>
      </c>
    </row>
    <row r="38" spans="1:3">
      <c r="A38">
        <v>36</v>
      </c>
      <c r="B38" s="213" t="s">
        <v>234</v>
      </c>
      <c r="C38" s="213" t="s">
        <v>413</v>
      </c>
    </row>
    <row r="39" spans="1:3">
      <c r="A39">
        <v>37</v>
      </c>
      <c r="B39" s="213" t="s">
        <v>23</v>
      </c>
      <c r="C39" s="213" t="s">
        <v>444</v>
      </c>
    </row>
    <row r="40" spans="1:3">
      <c r="A40">
        <v>38</v>
      </c>
      <c r="B40" s="213" t="s">
        <v>6</v>
      </c>
      <c r="C40" s="213" t="s">
        <v>446</v>
      </c>
    </row>
    <row r="41" spans="1:3">
      <c r="A41">
        <v>39</v>
      </c>
    </row>
    <row r="42" spans="1:3">
      <c r="A42">
        <v>40</v>
      </c>
    </row>
    <row r="43" spans="1:3">
      <c r="A43">
        <v>41</v>
      </c>
    </row>
    <row r="44" spans="1:3">
      <c r="A44">
        <v>42</v>
      </c>
    </row>
    <row r="45" spans="1:3">
      <c r="A45">
        <v>43</v>
      </c>
    </row>
    <row r="46" spans="1:3">
      <c r="A46">
        <v>44</v>
      </c>
    </row>
    <row r="47" spans="1:3">
      <c r="A47">
        <v>45</v>
      </c>
    </row>
    <row r="48" spans="1:3">
      <c r="A48">
        <v>46</v>
      </c>
    </row>
    <row r="49" spans="1:4">
      <c r="A49">
        <v>47</v>
      </c>
    </row>
    <row r="50" spans="1:4">
      <c r="A50">
        <v>48</v>
      </c>
    </row>
    <row r="51" spans="1:4">
      <c r="A51">
        <v>49</v>
      </c>
    </row>
    <row r="52" spans="1:4">
      <c r="A52">
        <v>50</v>
      </c>
      <c r="B52" s="213" t="s">
        <v>447</v>
      </c>
      <c r="C52" s="213" t="s">
        <v>611</v>
      </c>
      <c r="D52" s="213"/>
    </row>
    <row r="53" spans="1:4">
      <c r="A53">
        <v>51</v>
      </c>
      <c r="B53" s="213" t="s">
        <v>0</v>
      </c>
      <c r="C53" s="213" t="s">
        <v>416</v>
      </c>
    </row>
    <row r="54" spans="1:4">
      <c r="A54">
        <v>52</v>
      </c>
      <c r="B54" t="s">
        <v>297</v>
      </c>
      <c r="C54" s="213" t="s">
        <v>448</v>
      </c>
    </row>
    <row r="55" spans="1:4">
      <c r="A55">
        <v>53</v>
      </c>
      <c r="B55" t="s">
        <v>260</v>
      </c>
      <c r="C55" t="s">
        <v>449</v>
      </c>
    </row>
    <row r="56" spans="1:4">
      <c r="A56">
        <v>54</v>
      </c>
      <c r="B56" t="s">
        <v>113</v>
      </c>
      <c r="C56" t="s">
        <v>450</v>
      </c>
    </row>
    <row r="57" spans="1:4">
      <c r="A57">
        <v>55</v>
      </c>
      <c r="B57" t="s">
        <v>114</v>
      </c>
      <c r="C57" t="s">
        <v>451</v>
      </c>
    </row>
    <row r="58" spans="1:4">
      <c r="A58">
        <v>56</v>
      </c>
      <c r="B58" t="s">
        <v>115</v>
      </c>
      <c r="C58" t="s">
        <v>452</v>
      </c>
    </row>
    <row r="59" spans="1:4">
      <c r="A59">
        <v>57</v>
      </c>
      <c r="B59" s="213" t="s">
        <v>454</v>
      </c>
      <c r="C59" t="s">
        <v>453</v>
      </c>
    </row>
    <row r="60" spans="1:4">
      <c r="A60">
        <v>58</v>
      </c>
      <c r="B60" t="s">
        <v>116</v>
      </c>
      <c r="C60" t="s">
        <v>415</v>
      </c>
    </row>
    <row r="61" spans="1:4">
      <c r="A61">
        <v>59</v>
      </c>
      <c r="B61" t="s">
        <v>296</v>
      </c>
      <c r="C61" t="s">
        <v>455</v>
      </c>
    </row>
    <row r="62" spans="1:4">
      <c r="A62">
        <v>60</v>
      </c>
      <c r="B62" s="213" t="s">
        <v>467</v>
      </c>
      <c r="C62" s="213" t="s">
        <v>468</v>
      </c>
    </row>
    <row r="63" spans="1:4">
      <c r="A63">
        <v>61</v>
      </c>
      <c r="B63" t="s">
        <v>120</v>
      </c>
      <c r="C63" t="s">
        <v>456</v>
      </c>
    </row>
    <row r="64" spans="1:4">
      <c r="A64">
        <v>62</v>
      </c>
      <c r="B64" s="213" t="s">
        <v>458</v>
      </c>
      <c r="C64" s="213" t="s">
        <v>463</v>
      </c>
    </row>
    <row r="65" spans="1:3">
      <c r="A65">
        <v>63</v>
      </c>
      <c r="B65" s="213" t="s">
        <v>459</v>
      </c>
      <c r="C65" s="213" t="s">
        <v>462</v>
      </c>
    </row>
    <row r="66" spans="1:3">
      <c r="A66">
        <v>64</v>
      </c>
      <c r="B66" s="213" t="s">
        <v>460</v>
      </c>
      <c r="C66" s="213" t="s">
        <v>461</v>
      </c>
    </row>
    <row r="67" spans="1:3">
      <c r="A67">
        <v>65</v>
      </c>
      <c r="B67" s="213" t="s">
        <v>118</v>
      </c>
      <c r="C67" s="213" t="s">
        <v>457</v>
      </c>
    </row>
    <row r="68" spans="1:3">
      <c r="A68">
        <v>66</v>
      </c>
      <c r="B68" s="213" t="s">
        <v>464</v>
      </c>
      <c r="C68" s="213" t="s">
        <v>464</v>
      </c>
    </row>
    <row r="69" spans="1:3">
      <c r="A69">
        <v>67</v>
      </c>
      <c r="B69" s="213" t="s">
        <v>465</v>
      </c>
      <c r="C69" s="213" t="s">
        <v>465</v>
      </c>
    </row>
    <row r="70" spans="1:3">
      <c r="A70">
        <v>68</v>
      </c>
      <c r="B70" t="s">
        <v>216</v>
      </c>
      <c r="C70" t="s">
        <v>415</v>
      </c>
    </row>
    <row r="71" spans="1:3">
      <c r="A71">
        <v>69</v>
      </c>
    </row>
    <row r="72" spans="1:3">
      <c r="A72">
        <v>70</v>
      </c>
      <c r="B72" s="213" t="s">
        <v>254</v>
      </c>
      <c r="C72" s="213" t="s">
        <v>466</v>
      </c>
    </row>
    <row r="73" spans="1:3">
      <c r="A73">
        <v>71</v>
      </c>
      <c r="B73" s="213" t="s">
        <v>469</v>
      </c>
      <c r="C73" s="213" t="s">
        <v>470</v>
      </c>
    </row>
    <row r="74" spans="1:3">
      <c r="A74">
        <v>72</v>
      </c>
      <c r="B74" t="s">
        <v>256</v>
      </c>
      <c r="C74" t="s">
        <v>471</v>
      </c>
    </row>
    <row r="75" spans="1:3">
      <c r="A75">
        <v>73</v>
      </c>
      <c r="B75" t="s">
        <v>255</v>
      </c>
      <c r="C75" t="s">
        <v>472</v>
      </c>
    </row>
    <row r="76" spans="1:3">
      <c r="A76">
        <v>74</v>
      </c>
      <c r="B76" t="s">
        <v>119</v>
      </c>
      <c r="C76" t="s">
        <v>473</v>
      </c>
    </row>
    <row r="77" spans="1:3">
      <c r="A77">
        <v>75</v>
      </c>
      <c r="B77" t="s">
        <v>257</v>
      </c>
      <c r="C77" t="s">
        <v>474</v>
      </c>
    </row>
    <row r="78" spans="1:3">
      <c r="A78">
        <v>76</v>
      </c>
      <c r="B78" s="213" t="s">
        <v>475</v>
      </c>
      <c r="C78" s="213" t="s">
        <v>477</v>
      </c>
    </row>
    <row r="79" spans="1:3">
      <c r="A79">
        <v>77</v>
      </c>
      <c r="B79" s="213" t="s">
        <v>476</v>
      </c>
      <c r="C79" s="213" t="s">
        <v>478</v>
      </c>
    </row>
    <row r="80" spans="1:3">
      <c r="A80">
        <v>78</v>
      </c>
      <c r="B80" t="s">
        <v>121</v>
      </c>
      <c r="C80" t="s">
        <v>479</v>
      </c>
    </row>
    <row r="81" spans="1:3">
      <c r="A81">
        <v>79</v>
      </c>
    </row>
    <row r="82" spans="1:3">
      <c r="A82">
        <v>80</v>
      </c>
      <c r="B82" t="s">
        <v>228</v>
      </c>
      <c r="C82" t="s">
        <v>480</v>
      </c>
    </row>
    <row r="83" spans="1:3">
      <c r="A83">
        <v>81</v>
      </c>
      <c r="B83" s="213" t="s">
        <v>481</v>
      </c>
      <c r="C83" s="213" t="s">
        <v>482</v>
      </c>
    </row>
    <row r="84" spans="1:3">
      <c r="A84">
        <v>82</v>
      </c>
      <c r="B84" t="s">
        <v>227</v>
      </c>
      <c r="C84" t="s">
        <v>483</v>
      </c>
    </row>
    <row r="85" spans="1:3">
      <c r="A85">
        <v>83</v>
      </c>
      <c r="B85" s="213" t="s">
        <v>484</v>
      </c>
      <c r="C85" s="213" t="s">
        <v>485</v>
      </c>
    </row>
    <row r="86" spans="1:3">
      <c r="A86">
        <v>84</v>
      </c>
      <c r="B86" s="213" t="s">
        <v>486</v>
      </c>
      <c r="C86" t="s">
        <v>488</v>
      </c>
    </row>
    <row r="87" spans="1:3">
      <c r="A87">
        <v>85</v>
      </c>
      <c r="B87" t="s">
        <v>111</v>
      </c>
      <c r="C87" s="16" t="s">
        <v>487</v>
      </c>
    </row>
    <row r="88" spans="1:3">
      <c r="A88">
        <v>86</v>
      </c>
      <c r="B88" t="s">
        <v>112</v>
      </c>
      <c r="C88" t="s">
        <v>490</v>
      </c>
    </row>
    <row r="89" spans="1:3">
      <c r="A89">
        <v>87</v>
      </c>
      <c r="B89" t="s">
        <v>489</v>
      </c>
      <c r="C89" t="s">
        <v>491</v>
      </c>
    </row>
    <row r="90" spans="1:3">
      <c r="A90">
        <v>88</v>
      </c>
      <c r="B90" t="s">
        <v>397</v>
      </c>
      <c r="C90" t="s">
        <v>492</v>
      </c>
    </row>
    <row r="91" spans="1:3">
      <c r="A91">
        <v>89</v>
      </c>
    </row>
    <row r="92" spans="1:3">
      <c r="A92">
        <v>90</v>
      </c>
    </row>
    <row r="93" spans="1:3">
      <c r="A93">
        <v>91</v>
      </c>
      <c r="B93" t="s">
        <v>241</v>
      </c>
      <c r="C93" t="s">
        <v>493</v>
      </c>
    </row>
    <row r="94" spans="1:3">
      <c r="A94">
        <v>92</v>
      </c>
      <c r="B94" s="213" t="s">
        <v>494</v>
      </c>
      <c r="C94" s="213" t="s">
        <v>495</v>
      </c>
    </row>
    <row r="95" spans="1:3">
      <c r="A95">
        <v>93</v>
      </c>
      <c r="B95" t="s">
        <v>242</v>
      </c>
      <c r="C95" t="s">
        <v>496</v>
      </c>
    </row>
    <row r="96" spans="1:3">
      <c r="A96">
        <v>94</v>
      </c>
      <c r="B96" t="s">
        <v>243</v>
      </c>
      <c r="C96" t="s">
        <v>497</v>
      </c>
    </row>
    <row r="97" spans="1:3">
      <c r="A97">
        <v>95</v>
      </c>
      <c r="B97" t="s">
        <v>249</v>
      </c>
      <c r="C97" t="s">
        <v>498</v>
      </c>
    </row>
    <row r="98" spans="1:3">
      <c r="A98">
        <v>96</v>
      </c>
      <c r="B98" t="s">
        <v>250</v>
      </c>
      <c r="C98" t="s">
        <v>499</v>
      </c>
    </row>
    <row r="99" spans="1:3">
      <c r="A99">
        <v>97</v>
      </c>
      <c r="B99" t="s">
        <v>258</v>
      </c>
      <c r="C99" t="s">
        <v>500</v>
      </c>
    </row>
    <row r="100" spans="1:3">
      <c r="A100">
        <v>98</v>
      </c>
      <c r="B100" s="213" t="s">
        <v>531</v>
      </c>
      <c r="C100" s="213" t="s">
        <v>532</v>
      </c>
    </row>
    <row r="101" spans="1:3">
      <c r="A101">
        <v>99</v>
      </c>
      <c r="B101" t="s">
        <v>244</v>
      </c>
      <c r="C101" t="s">
        <v>501</v>
      </c>
    </row>
    <row r="102" spans="1:3">
      <c r="A102">
        <v>100</v>
      </c>
      <c r="B102" t="s">
        <v>245</v>
      </c>
      <c r="C102" t="s">
        <v>502</v>
      </c>
    </row>
    <row r="103" spans="1:3">
      <c r="A103">
        <v>101</v>
      </c>
      <c r="B103" t="s">
        <v>253</v>
      </c>
      <c r="C103" t="s">
        <v>503</v>
      </c>
    </row>
    <row r="104" spans="1:3">
      <c r="A104">
        <v>102</v>
      </c>
      <c r="B104" t="s">
        <v>246</v>
      </c>
      <c r="C104" t="s">
        <v>504</v>
      </c>
    </row>
    <row r="105" spans="1:3">
      <c r="A105">
        <v>103</v>
      </c>
      <c r="B105" s="213" t="s">
        <v>514</v>
      </c>
      <c r="C105" s="213" t="s">
        <v>513</v>
      </c>
    </row>
    <row r="106" spans="1:3">
      <c r="A106">
        <v>104</v>
      </c>
      <c r="B106" t="s">
        <v>247</v>
      </c>
      <c r="C106" t="s">
        <v>505</v>
      </c>
    </row>
    <row r="107" spans="1:3">
      <c r="A107">
        <v>105</v>
      </c>
      <c r="B107" t="s">
        <v>248</v>
      </c>
      <c r="C107" t="s">
        <v>506</v>
      </c>
    </row>
    <row r="108" spans="1:3">
      <c r="A108">
        <v>106</v>
      </c>
      <c r="B108" t="s">
        <v>251</v>
      </c>
      <c r="C108" s="213" t="s">
        <v>508</v>
      </c>
    </row>
    <row r="109" spans="1:3">
      <c r="A109">
        <v>107</v>
      </c>
      <c r="B109" t="s">
        <v>252</v>
      </c>
      <c r="C109" t="s">
        <v>507</v>
      </c>
    </row>
    <row r="110" spans="1:3">
      <c r="A110">
        <v>108</v>
      </c>
      <c r="B110" s="213" t="s">
        <v>511</v>
      </c>
      <c r="C110" s="213" t="s">
        <v>512</v>
      </c>
    </row>
    <row r="111" spans="1:3">
      <c r="A111">
        <v>109</v>
      </c>
      <c r="B111" s="213" t="s">
        <v>510</v>
      </c>
      <c r="C111" s="213" t="s">
        <v>509</v>
      </c>
    </row>
    <row r="112" spans="1:3">
      <c r="A112">
        <v>110</v>
      </c>
    </row>
    <row r="113" spans="1:3">
      <c r="A113">
        <v>111</v>
      </c>
      <c r="B113" t="s">
        <v>217</v>
      </c>
      <c r="C113" t="s">
        <v>415</v>
      </c>
    </row>
    <row r="114" spans="1:3">
      <c r="A114">
        <v>112</v>
      </c>
      <c r="B114" t="s">
        <v>215</v>
      </c>
      <c r="C114" t="s">
        <v>515</v>
      </c>
    </row>
    <row r="115" spans="1:3">
      <c r="A115">
        <v>113</v>
      </c>
      <c r="B115" t="s">
        <v>516</v>
      </c>
      <c r="C115" t="s">
        <v>519</v>
      </c>
    </row>
    <row r="116" spans="1:3">
      <c r="A116">
        <v>114</v>
      </c>
      <c r="B116" t="s">
        <v>517</v>
      </c>
      <c r="C116" t="s">
        <v>520</v>
      </c>
    </row>
    <row r="117" spans="1:3">
      <c r="A117">
        <v>115</v>
      </c>
      <c r="B117" t="s">
        <v>229</v>
      </c>
      <c r="C117" t="s">
        <v>521</v>
      </c>
    </row>
    <row r="118" spans="1:3">
      <c r="A118">
        <v>116</v>
      </c>
      <c r="B118" t="s">
        <v>518</v>
      </c>
      <c r="C118" t="s">
        <v>522</v>
      </c>
    </row>
    <row r="119" spans="1:3">
      <c r="A119">
        <v>117</v>
      </c>
      <c r="B119" t="s">
        <v>222</v>
      </c>
      <c r="C119" t="s">
        <v>523</v>
      </c>
    </row>
    <row r="120" spans="1:3">
      <c r="A120">
        <v>118</v>
      </c>
      <c r="B120" t="s">
        <v>230</v>
      </c>
      <c r="C120" t="s">
        <v>524</v>
      </c>
    </row>
    <row r="121" spans="1:3">
      <c r="A121">
        <v>119</v>
      </c>
      <c r="B121" t="s">
        <v>206</v>
      </c>
      <c r="C121" t="s">
        <v>525</v>
      </c>
    </row>
    <row r="122" spans="1:3">
      <c r="A122">
        <v>120</v>
      </c>
      <c r="B122" t="s">
        <v>123</v>
      </c>
      <c r="C122" t="s">
        <v>526</v>
      </c>
    </row>
    <row r="123" spans="1:3">
      <c r="A123">
        <v>121</v>
      </c>
      <c r="B123" s="213" t="s">
        <v>530</v>
      </c>
      <c r="C123" s="213" t="s">
        <v>527</v>
      </c>
    </row>
    <row r="124" spans="1:3">
      <c r="A124">
        <v>122</v>
      </c>
      <c r="B124" s="213" t="s">
        <v>529</v>
      </c>
      <c r="C124" s="213" t="s">
        <v>528</v>
      </c>
    </row>
    <row r="125" spans="1:3">
      <c r="A125">
        <v>123</v>
      </c>
    </row>
    <row r="126" spans="1:3">
      <c r="A126">
        <v>124</v>
      </c>
    </row>
    <row r="127" spans="1:3">
      <c r="A127">
        <v>125</v>
      </c>
    </row>
    <row r="128" spans="1:3">
      <c r="A128">
        <v>126</v>
      </c>
    </row>
    <row r="129" spans="1:3">
      <c r="A129">
        <v>127</v>
      </c>
    </row>
    <row r="130" spans="1:3">
      <c r="A130">
        <v>128</v>
      </c>
    </row>
    <row r="131" spans="1:3">
      <c r="A131">
        <v>129</v>
      </c>
    </row>
    <row r="132" spans="1:3">
      <c r="A132">
        <v>130</v>
      </c>
    </row>
    <row r="133" spans="1:3">
      <c r="A133">
        <v>131</v>
      </c>
      <c r="B133" s="213" t="s">
        <v>533</v>
      </c>
      <c r="C133" s="213" t="s">
        <v>534</v>
      </c>
    </row>
    <row r="134" spans="1:3">
      <c r="A134">
        <v>132</v>
      </c>
      <c r="B134" t="s">
        <v>180</v>
      </c>
      <c r="C134" t="s">
        <v>535</v>
      </c>
    </row>
    <row r="135" spans="1:3">
      <c r="A135">
        <v>133</v>
      </c>
      <c r="B135" t="s">
        <v>130</v>
      </c>
      <c r="C135" t="s">
        <v>536</v>
      </c>
    </row>
    <row r="136" spans="1:3">
      <c r="A136">
        <v>134</v>
      </c>
      <c r="B136" t="s">
        <v>131</v>
      </c>
      <c r="C136" t="s">
        <v>537</v>
      </c>
    </row>
    <row r="137" spans="1:3">
      <c r="A137">
        <v>135</v>
      </c>
      <c r="B137" t="s">
        <v>132</v>
      </c>
      <c r="C137" t="s">
        <v>538</v>
      </c>
    </row>
    <row r="138" spans="1:3">
      <c r="A138">
        <v>136</v>
      </c>
      <c r="B138" t="s">
        <v>133</v>
      </c>
      <c r="C138" t="s">
        <v>539</v>
      </c>
    </row>
    <row r="139" spans="1:3">
      <c r="A139">
        <v>137</v>
      </c>
      <c r="B139" t="s">
        <v>134</v>
      </c>
      <c r="C139" t="s">
        <v>540</v>
      </c>
    </row>
    <row r="140" spans="1:3">
      <c r="A140">
        <v>138</v>
      </c>
      <c r="B140" t="s">
        <v>135</v>
      </c>
      <c r="C140" t="s">
        <v>541</v>
      </c>
    </row>
    <row r="141" spans="1:3">
      <c r="A141">
        <v>139</v>
      </c>
      <c r="B141" t="s">
        <v>136</v>
      </c>
      <c r="C141" t="s">
        <v>542</v>
      </c>
    </row>
    <row r="142" spans="1:3">
      <c r="A142">
        <v>140</v>
      </c>
      <c r="B142" t="s">
        <v>137</v>
      </c>
      <c r="C142" t="s">
        <v>543</v>
      </c>
    </row>
    <row r="143" spans="1:3">
      <c r="A143">
        <v>141</v>
      </c>
      <c r="B143" t="s">
        <v>138</v>
      </c>
      <c r="C143" t="s">
        <v>544</v>
      </c>
    </row>
    <row r="144" spans="1:3">
      <c r="A144">
        <v>142</v>
      </c>
      <c r="B144" t="s">
        <v>139</v>
      </c>
      <c r="C144" t="s">
        <v>545</v>
      </c>
    </row>
    <row r="145" spans="1:3">
      <c r="A145">
        <v>143</v>
      </c>
      <c r="B145" t="s">
        <v>140</v>
      </c>
      <c r="C145" t="s">
        <v>546</v>
      </c>
    </row>
    <row r="146" spans="1:3">
      <c r="A146">
        <v>144</v>
      </c>
      <c r="B146" t="s">
        <v>141</v>
      </c>
      <c r="C146" t="s">
        <v>547</v>
      </c>
    </row>
    <row r="147" spans="1:3">
      <c r="A147">
        <v>145</v>
      </c>
      <c r="B147" t="s">
        <v>142</v>
      </c>
      <c r="C147" t="s">
        <v>548</v>
      </c>
    </row>
    <row r="148" spans="1:3">
      <c r="A148">
        <v>146</v>
      </c>
      <c r="B148" t="s">
        <v>143</v>
      </c>
      <c r="C148" t="s">
        <v>549</v>
      </c>
    </row>
    <row r="149" spans="1:3">
      <c r="A149">
        <v>147</v>
      </c>
      <c r="B149" t="s">
        <v>127</v>
      </c>
      <c r="C149" s="213" t="s">
        <v>550</v>
      </c>
    </row>
    <row r="150" spans="1:3">
      <c r="A150">
        <v>148</v>
      </c>
      <c r="B150" t="s">
        <v>2</v>
      </c>
      <c r="C150" t="s">
        <v>551</v>
      </c>
    </row>
    <row r="151" spans="1:3">
      <c r="A151">
        <v>149</v>
      </c>
      <c r="B151" t="s">
        <v>146</v>
      </c>
      <c r="C151" t="s">
        <v>552</v>
      </c>
    </row>
    <row r="152" spans="1:3">
      <c r="A152">
        <v>150</v>
      </c>
      <c r="B152" t="s">
        <v>150</v>
      </c>
      <c r="C152" t="s">
        <v>553</v>
      </c>
    </row>
    <row r="153" spans="1:3">
      <c r="A153">
        <v>151</v>
      </c>
      <c r="B153" t="s">
        <v>144</v>
      </c>
      <c r="C153" t="s">
        <v>144</v>
      </c>
    </row>
    <row r="154" spans="1:3">
      <c r="A154">
        <v>152</v>
      </c>
      <c r="B154" t="s">
        <v>145</v>
      </c>
      <c r="C154" t="s">
        <v>145</v>
      </c>
    </row>
    <row r="155" spans="1:3">
      <c r="A155">
        <v>153</v>
      </c>
      <c r="B155" t="s">
        <v>179</v>
      </c>
      <c r="C155" t="s">
        <v>179</v>
      </c>
    </row>
    <row r="156" spans="1:3">
      <c r="A156">
        <v>154</v>
      </c>
      <c r="B156" t="s">
        <v>147</v>
      </c>
      <c r="C156" t="s">
        <v>147</v>
      </c>
    </row>
    <row r="157" spans="1:3">
      <c r="A157">
        <v>155</v>
      </c>
      <c r="B157" t="s">
        <v>148</v>
      </c>
      <c r="C157" t="s">
        <v>148</v>
      </c>
    </row>
    <row r="158" spans="1:3">
      <c r="A158">
        <v>156</v>
      </c>
      <c r="B158" t="s">
        <v>149</v>
      </c>
      <c r="C158" t="s">
        <v>149</v>
      </c>
    </row>
    <row r="159" spans="1:3">
      <c r="A159">
        <v>157</v>
      </c>
      <c r="B159" t="s">
        <v>151</v>
      </c>
      <c r="C159" t="s">
        <v>151</v>
      </c>
    </row>
    <row r="160" spans="1:3">
      <c r="A160">
        <v>158</v>
      </c>
      <c r="B160" t="s">
        <v>152</v>
      </c>
      <c r="C160" t="s">
        <v>152</v>
      </c>
    </row>
    <row r="161" spans="1:3">
      <c r="A161">
        <v>159</v>
      </c>
      <c r="B161" t="s">
        <v>153</v>
      </c>
      <c r="C161" t="s">
        <v>153</v>
      </c>
    </row>
    <row r="162" spans="1:3">
      <c r="A162">
        <v>160</v>
      </c>
      <c r="B162" t="s">
        <v>154</v>
      </c>
      <c r="C162" t="s">
        <v>154</v>
      </c>
    </row>
    <row r="163" spans="1:3">
      <c r="A163">
        <v>161</v>
      </c>
      <c r="B163" t="s">
        <v>195</v>
      </c>
      <c r="C163" t="s">
        <v>554</v>
      </c>
    </row>
    <row r="164" spans="1:3">
      <c r="A164">
        <v>162</v>
      </c>
      <c r="B164" t="s">
        <v>181</v>
      </c>
      <c r="C164" t="s">
        <v>555</v>
      </c>
    </row>
    <row r="165" spans="1:3">
      <c r="A165">
        <v>163</v>
      </c>
      <c r="B165" t="s">
        <v>182</v>
      </c>
      <c r="C165" t="s">
        <v>556</v>
      </c>
    </row>
    <row r="166" spans="1:3">
      <c r="A166">
        <v>164</v>
      </c>
      <c r="B166" t="s">
        <v>184</v>
      </c>
      <c r="C166" t="s">
        <v>557</v>
      </c>
    </row>
    <row r="167" spans="1:3">
      <c r="A167">
        <v>165</v>
      </c>
      <c r="B167" t="s">
        <v>186</v>
      </c>
      <c r="C167" t="s">
        <v>558</v>
      </c>
    </row>
    <row r="168" spans="1:3">
      <c r="A168">
        <v>166</v>
      </c>
      <c r="B168" t="s">
        <v>188</v>
      </c>
      <c r="C168" t="s">
        <v>559</v>
      </c>
    </row>
    <row r="169" spans="1:3">
      <c r="A169">
        <v>167</v>
      </c>
      <c r="B169" s="213" t="s">
        <v>566</v>
      </c>
      <c r="C169" t="s">
        <v>560</v>
      </c>
    </row>
    <row r="170" spans="1:3">
      <c r="A170">
        <v>168</v>
      </c>
      <c r="B170" t="s">
        <v>189</v>
      </c>
      <c r="C170" t="s">
        <v>561</v>
      </c>
    </row>
    <row r="171" spans="1:3">
      <c r="A171">
        <v>169</v>
      </c>
      <c r="B171" t="s">
        <v>191</v>
      </c>
      <c r="C171" t="s">
        <v>562</v>
      </c>
    </row>
    <row r="172" spans="1:3">
      <c r="A172">
        <v>170</v>
      </c>
      <c r="B172" t="s">
        <v>192</v>
      </c>
      <c r="C172" t="s">
        <v>563</v>
      </c>
    </row>
    <row r="173" spans="1:3">
      <c r="A173">
        <v>171</v>
      </c>
      <c r="B173" t="s">
        <v>193</v>
      </c>
      <c r="C173" t="s">
        <v>564</v>
      </c>
    </row>
    <row r="174" spans="1:3">
      <c r="A174">
        <v>172</v>
      </c>
      <c r="B174" t="s">
        <v>194</v>
      </c>
      <c r="C174" t="s">
        <v>565</v>
      </c>
    </row>
    <row r="175" spans="1:3">
      <c r="A175">
        <v>173</v>
      </c>
    </row>
    <row r="176" spans="1:3">
      <c r="A176">
        <v>174</v>
      </c>
      <c r="B176" t="s">
        <v>155</v>
      </c>
      <c r="C176" t="s">
        <v>567</v>
      </c>
    </row>
    <row r="177" spans="1:3">
      <c r="A177">
        <v>175</v>
      </c>
      <c r="B177" t="s">
        <v>156</v>
      </c>
      <c r="C177" t="s">
        <v>568</v>
      </c>
    </row>
    <row r="178" spans="1:3">
      <c r="A178">
        <v>176</v>
      </c>
      <c r="B178" t="s">
        <v>159</v>
      </c>
      <c r="C178" t="s">
        <v>569</v>
      </c>
    </row>
    <row r="179" spans="1:3">
      <c r="A179">
        <v>177</v>
      </c>
      <c r="B179" t="s">
        <v>162</v>
      </c>
      <c r="C179" t="s">
        <v>570</v>
      </c>
    </row>
    <row r="180" spans="1:3">
      <c r="A180">
        <v>178</v>
      </c>
      <c r="B180" t="s">
        <v>163</v>
      </c>
      <c r="C180" t="s">
        <v>163</v>
      </c>
    </row>
    <row r="181" spans="1:3">
      <c r="A181">
        <v>179</v>
      </c>
      <c r="B181" t="s">
        <v>164</v>
      </c>
      <c r="C181" t="s">
        <v>164</v>
      </c>
    </row>
    <row r="182" spans="1:3">
      <c r="A182">
        <v>180</v>
      </c>
      <c r="B182" t="s">
        <v>165</v>
      </c>
      <c r="C182" t="s">
        <v>571</v>
      </c>
    </row>
    <row r="183" spans="1:3">
      <c r="A183">
        <v>181</v>
      </c>
      <c r="B183" t="s">
        <v>166</v>
      </c>
      <c r="C183" t="s">
        <v>572</v>
      </c>
    </row>
    <row r="184" spans="1:3">
      <c r="A184">
        <v>182</v>
      </c>
      <c r="B184" t="s">
        <v>167</v>
      </c>
      <c r="C184" t="s">
        <v>167</v>
      </c>
    </row>
    <row r="185" spans="1:3">
      <c r="A185">
        <v>183</v>
      </c>
      <c r="B185" t="s">
        <v>157</v>
      </c>
      <c r="C185" t="s">
        <v>157</v>
      </c>
    </row>
    <row r="186" spans="1:3">
      <c r="A186">
        <v>184</v>
      </c>
      <c r="B186" t="s">
        <v>158</v>
      </c>
      <c r="C186" t="s">
        <v>158</v>
      </c>
    </row>
    <row r="187" spans="1:3">
      <c r="A187">
        <v>185</v>
      </c>
      <c r="B187" t="s">
        <v>102</v>
      </c>
      <c r="C187" t="s">
        <v>102</v>
      </c>
    </row>
    <row r="188" spans="1:3">
      <c r="A188">
        <v>186</v>
      </c>
      <c r="B188" t="s">
        <v>160</v>
      </c>
      <c r="C188" t="s">
        <v>160</v>
      </c>
    </row>
    <row r="189" spans="1:3">
      <c r="A189">
        <v>187</v>
      </c>
      <c r="B189" t="s">
        <v>161</v>
      </c>
      <c r="C189" t="s">
        <v>161</v>
      </c>
    </row>
    <row r="190" spans="1:3">
      <c r="A190">
        <v>188</v>
      </c>
      <c r="B190" t="s">
        <v>102</v>
      </c>
      <c r="C190" t="s">
        <v>102</v>
      </c>
    </row>
    <row r="191" spans="1:3">
      <c r="A191">
        <v>189</v>
      </c>
      <c r="B191" t="s">
        <v>160</v>
      </c>
      <c r="C191" t="s">
        <v>160</v>
      </c>
    </row>
    <row r="192" spans="1:3">
      <c r="A192">
        <v>190</v>
      </c>
      <c r="B192" t="s">
        <v>102</v>
      </c>
      <c r="C192" t="s">
        <v>102</v>
      </c>
    </row>
    <row r="193" spans="1:3">
      <c r="A193">
        <v>191</v>
      </c>
      <c r="B193" t="s">
        <v>160</v>
      </c>
      <c r="C193" t="s">
        <v>160</v>
      </c>
    </row>
    <row r="194" spans="1:3">
      <c r="A194">
        <v>192</v>
      </c>
      <c r="B194" t="s">
        <v>102</v>
      </c>
      <c r="C194" t="s">
        <v>102</v>
      </c>
    </row>
    <row r="195" spans="1:3">
      <c r="A195">
        <v>193</v>
      </c>
      <c r="B195" t="s">
        <v>160</v>
      </c>
      <c r="C195" t="s">
        <v>160</v>
      </c>
    </row>
    <row r="196" spans="1:3">
      <c r="A196">
        <v>194</v>
      </c>
      <c r="B196" t="s">
        <v>102</v>
      </c>
      <c r="C196" t="s">
        <v>102</v>
      </c>
    </row>
    <row r="197" spans="1:3">
      <c r="A197">
        <v>195</v>
      </c>
      <c r="B197" t="s">
        <v>160</v>
      </c>
      <c r="C197" t="s">
        <v>160</v>
      </c>
    </row>
    <row r="198" spans="1:3">
      <c r="A198">
        <v>196</v>
      </c>
      <c r="B198" t="s">
        <v>102</v>
      </c>
      <c r="C198" t="s">
        <v>102</v>
      </c>
    </row>
    <row r="199" spans="1:3">
      <c r="A199">
        <v>197</v>
      </c>
      <c r="B199" t="s">
        <v>160</v>
      </c>
      <c r="C199" t="s">
        <v>160</v>
      </c>
    </row>
    <row r="200" spans="1:3">
      <c r="A200">
        <v>198</v>
      </c>
      <c r="B200" t="s">
        <v>102</v>
      </c>
      <c r="C200" t="s">
        <v>102</v>
      </c>
    </row>
    <row r="201" spans="1:3">
      <c r="A201">
        <v>199</v>
      </c>
      <c r="B201" t="s">
        <v>160</v>
      </c>
      <c r="C201" t="s">
        <v>160</v>
      </c>
    </row>
    <row r="202" spans="1:3">
      <c r="A202">
        <v>200</v>
      </c>
      <c r="B202" t="s">
        <v>102</v>
      </c>
      <c r="C202" t="s">
        <v>102</v>
      </c>
    </row>
    <row r="203" spans="1:3">
      <c r="A203">
        <v>201</v>
      </c>
      <c r="B203" t="s">
        <v>168</v>
      </c>
      <c r="C203" t="s">
        <v>573</v>
      </c>
    </row>
    <row r="204" spans="1:3">
      <c r="A204">
        <v>202</v>
      </c>
      <c r="B204" t="s">
        <v>156</v>
      </c>
      <c r="C204" t="s">
        <v>568</v>
      </c>
    </row>
    <row r="205" spans="1:3">
      <c r="A205">
        <v>203</v>
      </c>
      <c r="B205" t="s">
        <v>159</v>
      </c>
      <c r="C205" t="s">
        <v>569</v>
      </c>
    </row>
    <row r="206" spans="1:3">
      <c r="A206">
        <v>204</v>
      </c>
      <c r="B206" t="s">
        <v>162</v>
      </c>
      <c r="C206" t="s">
        <v>570</v>
      </c>
    </row>
    <row r="207" spans="1:3">
      <c r="A207">
        <v>205</v>
      </c>
      <c r="B207" t="s">
        <v>169</v>
      </c>
      <c r="C207" t="s">
        <v>169</v>
      </c>
    </row>
    <row r="208" spans="1:3">
      <c r="A208">
        <v>206</v>
      </c>
      <c r="B208" t="s">
        <v>164</v>
      </c>
      <c r="C208" t="s">
        <v>164</v>
      </c>
    </row>
    <row r="209" spans="1:3">
      <c r="A209">
        <v>207</v>
      </c>
      <c r="B209" t="s">
        <v>165</v>
      </c>
      <c r="C209" t="s">
        <v>571</v>
      </c>
    </row>
    <row r="210" spans="1:3">
      <c r="A210">
        <v>208</v>
      </c>
      <c r="B210" t="s">
        <v>170</v>
      </c>
      <c r="C210" t="s">
        <v>170</v>
      </c>
    </row>
    <row r="211" spans="1:3">
      <c r="A211">
        <v>209</v>
      </c>
      <c r="B211" t="s">
        <v>167</v>
      </c>
      <c r="C211" t="s">
        <v>167</v>
      </c>
    </row>
    <row r="212" spans="1:3">
      <c r="A212">
        <v>210</v>
      </c>
      <c r="B212" t="s">
        <v>171</v>
      </c>
      <c r="C212" t="s">
        <v>171</v>
      </c>
    </row>
    <row r="213" spans="1:3">
      <c r="A213">
        <v>211</v>
      </c>
      <c r="B213" t="s">
        <v>157</v>
      </c>
      <c r="C213" t="s">
        <v>157</v>
      </c>
    </row>
    <row r="214" spans="1:3">
      <c r="A214">
        <v>212</v>
      </c>
      <c r="B214" t="s">
        <v>158</v>
      </c>
      <c r="C214" t="s">
        <v>158</v>
      </c>
    </row>
    <row r="215" spans="1:3">
      <c r="A215">
        <v>213</v>
      </c>
      <c r="B215" t="s">
        <v>102</v>
      </c>
      <c r="C215" t="s">
        <v>102</v>
      </c>
    </row>
    <row r="216" spans="1:3">
      <c r="A216">
        <v>214</v>
      </c>
      <c r="B216" t="s">
        <v>160</v>
      </c>
      <c r="C216" t="s">
        <v>160</v>
      </c>
    </row>
    <row r="217" spans="1:3">
      <c r="A217">
        <v>215</v>
      </c>
      <c r="B217" t="s">
        <v>161</v>
      </c>
      <c r="C217" t="s">
        <v>161</v>
      </c>
    </row>
    <row r="218" spans="1:3">
      <c r="A218">
        <v>216</v>
      </c>
      <c r="B218" t="s">
        <v>102</v>
      </c>
      <c r="C218" t="s">
        <v>102</v>
      </c>
    </row>
    <row r="219" spans="1:3">
      <c r="A219">
        <v>217</v>
      </c>
      <c r="B219" t="s">
        <v>160</v>
      </c>
      <c r="C219" t="s">
        <v>160</v>
      </c>
    </row>
    <row r="220" spans="1:3">
      <c r="A220">
        <v>218</v>
      </c>
      <c r="B220" t="s">
        <v>102</v>
      </c>
      <c r="C220" t="s">
        <v>102</v>
      </c>
    </row>
    <row r="221" spans="1:3">
      <c r="A221">
        <v>219</v>
      </c>
      <c r="B221" t="s">
        <v>160</v>
      </c>
      <c r="C221" t="s">
        <v>160</v>
      </c>
    </row>
    <row r="222" spans="1:3">
      <c r="A222">
        <v>220</v>
      </c>
      <c r="B222" t="s">
        <v>102</v>
      </c>
      <c r="C222" t="s">
        <v>102</v>
      </c>
    </row>
    <row r="223" spans="1:3">
      <c r="A223">
        <v>221</v>
      </c>
      <c r="B223" t="s">
        <v>160</v>
      </c>
      <c r="C223" t="s">
        <v>160</v>
      </c>
    </row>
    <row r="224" spans="1:3">
      <c r="A224">
        <v>222</v>
      </c>
      <c r="B224" t="s">
        <v>102</v>
      </c>
      <c r="C224" t="s">
        <v>102</v>
      </c>
    </row>
    <row r="225" spans="1:3">
      <c r="A225">
        <v>223</v>
      </c>
      <c r="B225" t="s">
        <v>160</v>
      </c>
      <c r="C225" t="s">
        <v>160</v>
      </c>
    </row>
    <row r="226" spans="1:3">
      <c r="A226">
        <v>224</v>
      </c>
      <c r="B226" t="s">
        <v>102</v>
      </c>
      <c r="C226" t="s">
        <v>102</v>
      </c>
    </row>
    <row r="227" spans="1:3">
      <c r="A227">
        <v>225</v>
      </c>
      <c r="B227" t="s">
        <v>160</v>
      </c>
      <c r="C227" t="s">
        <v>160</v>
      </c>
    </row>
    <row r="228" spans="1:3">
      <c r="A228">
        <v>226</v>
      </c>
      <c r="B228" t="s">
        <v>102</v>
      </c>
      <c r="C228" t="s">
        <v>102</v>
      </c>
    </row>
    <row r="229" spans="1:3">
      <c r="A229">
        <v>227</v>
      </c>
      <c r="B229" t="s">
        <v>160</v>
      </c>
      <c r="C229" t="s">
        <v>160</v>
      </c>
    </row>
    <row r="230" spans="1:3">
      <c r="A230">
        <v>228</v>
      </c>
      <c r="B230" t="s">
        <v>102</v>
      </c>
      <c r="C230" t="s">
        <v>102</v>
      </c>
    </row>
    <row r="231" spans="1:3">
      <c r="A231">
        <v>229</v>
      </c>
      <c r="B231" t="s">
        <v>160</v>
      </c>
      <c r="C231" t="s">
        <v>160</v>
      </c>
    </row>
    <row r="232" spans="1:3">
      <c r="A232">
        <v>230</v>
      </c>
      <c r="B232" t="s">
        <v>102</v>
      </c>
      <c r="C232" t="s">
        <v>102</v>
      </c>
    </row>
    <row r="233" spans="1:3">
      <c r="A233">
        <v>231</v>
      </c>
      <c r="B233" t="s">
        <v>172</v>
      </c>
      <c r="C233" t="s">
        <v>172</v>
      </c>
    </row>
    <row r="234" spans="1:3">
      <c r="A234">
        <v>232</v>
      </c>
      <c r="B234" t="s">
        <v>173</v>
      </c>
      <c r="C234" t="s">
        <v>574</v>
      </c>
    </row>
    <row r="235" spans="1:3">
      <c r="A235">
        <v>233</v>
      </c>
      <c r="B235" t="s">
        <v>174</v>
      </c>
      <c r="C235" t="s">
        <v>575</v>
      </c>
    </row>
    <row r="236" spans="1:3">
      <c r="A236">
        <v>234</v>
      </c>
      <c r="B236" t="s">
        <v>177</v>
      </c>
      <c r="C236" t="s">
        <v>177</v>
      </c>
    </row>
    <row r="237" spans="1:3">
      <c r="A237">
        <v>235</v>
      </c>
      <c r="B237" t="s">
        <v>213</v>
      </c>
      <c r="C237" t="s">
        <v>213</v>
      </c>
    </row>
    <row r="238" spans="1:3">
      <c r="A238">
        <v>236</v>
      </c>
      <c r="B238" t="s">
        <v>160</v>
      </c>
      <c r="C238" t="s">
        <v>160</v>
      </c>
    </row>
    <row r="239" spans="1:3">
      <c r="A239">
        <v>237</v>
      </c>
      <c r="B239" t="s">
        <v>102</v>
      </c>
      <c r="C239" t="s">
        <v>102</v>
      </c>
    </row>
    <row r="240" spans="1:3">
      <c r="A240">
        <v>238</v>
      </c>
      <c r="B240" t="s">
        <v>160</v>
      </c>
      <c r="C240" t="s">
        <v>160</v>
      </c>
    </row>
    <row r="241" spans="1:3">
      <c r="A241">
        <v>239</v>
      </c>
      <c r="B241" t="s">
        <v>102</v>
      </c>
      <c r="C241" t="s">
        <v>102</v>
      </c>
    </row>
    <row r="242" spans="1:3">
      <c r="A242">
        <v>240</v>
      </c>
      <c r="B242" t="s">
        <v>175</v>
      </c>
      <c r="C242" t="s">
        <v>175</v>
      </c>
    </row>
    <row r="243" spans="1:3">
      <c r="A243">
        <v>241</v>
      </c>
      <c r="B243" t="s">
        <v>176</v>
      </c>
      <c r="C243" t="s">
        <v>176</v>
      </c>
    </row>
    <row r="244" spans="1:3">
      <c r="A244">
        <v>242</v>
      </c>
      <c r="B244" t="s">
        <v>178</v>
      </c>
      <c r="C244" t="s">
        <v>178</v>
      </c>
    </row>
    <row r="245" spans="1:3">
      <c r="A245">
        <v>243</v>
      </c>
      <c r="B245" t="s">
        <v>102</v>
      </c>
      <c r="C245" t="s">
        <v>102</v>
      </c>
    </row>
    <row r="246" spans="1:3">
      <c r="A246">
        <v>244</v>
      </c>
      <c r="B246" t="s">
        <v>178</v>
      </c>
      <c r="C246" t="s">
        <v>178</v>
      </c>
    </row>
    <row r="247" spans="1:3">
      <c r="A247">
        <v>245</v>
      </c>
      <c r="B247" t="s">
        <v>102</v>
      </c>
      <c r="C247" t="s">
        <v>102</v>
      </c>
    </row>
    <row r="248" spans="1:3">
      <c r="A248">
        <v>246</v>
      </c>
      <c r="B248" t="s">
        <v>196</v>
      </c>
      <c r="C248" t="s">
        <v>576</v>
      </c>
    </row>
    <row r="249" spans="1:3">
      <c r="A249">
        <v>247</v>
      </c>
      <c r="B249" t="s">
        <v>197</v>
      </c>
      <c r="C249" t="s">
        <v>577</v>
      </c>
    </row>
    <row r="250" spans="1:3">
      <c r="A250">
        <v>248</v>
      </c>
      <c r="B250" t="s">
        <v>199</v>
      </c>
      <c r="C250" t="s">
        <v>578</v>
      </c>
    </row>
    <row r="251" spans="1:3">
      <c r="A251">
        <v>249</v>
      </c>
      <c r="B251" t="s">
        <v>200</v>
      </c>
      <c r="C251" t="s">
        <v>579</v>
      </c>
    </row>
    <row r="252" spans="1:3">
      <c r="A252">
        <v>250</v>
      </c>
      <c r="B252" t="s">
        <v>201</v>
      </c>
      <c r="C252" t="s">
        <v>580</v>
      </c>
    </row>
    <row r="253" spans="1:3">
      <c r="A253">
        <v>251</v>
      </c>
      <c r="B253" t="s">
        <v>202</v>
      </c>
      <c r="C253" t="s">
        <v>581</v>
      </c>
    </row>
    <row r="254" spans="1:3">
      <c r="A254">
        <v>252</v>
      </c>
      <c r="B254" t="s">
        <v>199</v>
      </c>
      <c r="C254" t="s">
        <v>578</v>
      </c>
    </row>
    <row r="255" spans="1:3">
      <c r="A255">
        <v>253</v>
      </c>
      <c r="B255" t="s">
        <v>200</v>
      </c>
      <c r="C255" t="s">
        <v>579</v>
      </c>
    </row>
    <row r="256" spans="1:3">
      <c r="A256">
        <v>254</v>
      </c>
      <c r="B256" t="s">
        <v>201</v>
      </c>
      <c r="C256" t="s">
        <v>580</v>
      </c>
    </row>
    <row r="257" spans="1:3">
      <c r="A257">
        <v>255</v>
      </c>
      <c r="B257" t="s">
        <v>203</v>
      </c>
      <c r="C257" t="s">
        <v>582</v>
      </c>
    </row>
    <row r="258" spans="1:3">
      <c r="A258">
        <v>256</v>
      </c>
      <c r="B258" t="s">
        <v>204</v>
      </c>
      <c r="C258" t="s">
        <v>583</v>
      </c>
    </row>
    <row r="259" spans="1:3">
      <c r="A259">
        <v>257</v>
      </c>
      <c r="B259" t="s">
        <v>205</v>
      </c>
      <c r="C259" t="s">
        <v>584</v>
      </c>
    </row>
    <row r="260" spans="1:3">
      <c r="A260">
        <v>258</v>
      </c>
      <c r="B260" s="213" t="s">
        <v>116</v>
      </c>
      <c r="C260" t="s">
        <v>415</v>
      </c>
    </row>
    <row r="261" spans="1:3">
      <c r="A261">
        <v>259</v>
      </c>
    </row>
    <row r="262" spans="1:3">
      <c r="A262">
        <v>260</v>
      </c>
    </row>
    <row r="263" spans="1:3">
      <c r="A263">
        <v>261</v>
      </c>
    </row>
    <row r="264" spans="1:3">
      <c r="A264">
        <v>262</v>
      </c>
    </row>
    <row r="265" spans="1:3">
      <c r="A265">
        <v>263</v>
      </c>
    </row>
    <row r="266" spans="1:3">
      <c r="A266">
        <v>264</v>
      </c>
    </row>
    <row r="267" spans="1:3">
      <c r="A267">
        <v>265</v>
      </c>
    </row>
    <row r="268" spans="1:3">
      <c r="A268">
        <v>266</v>
      </c>
    </row>
    <row r="269" spans="1:3">
      <c r="A269">
        <v>267</v>
      </c>
    </row>
    <row r="270" spans="1:3">
      <c r="A270">
        <v>268</v>
      </c>
    </row>
    <row r="271" spans="1:3">
      <c r="A271">
        <v>269</v>
      </c>
    </row>
    <row r="272" spans="1:3">
      <c r="A272">
        <v>270</v>
      </c>
    </row>
    <row r="273" spans="1:3">
      <c r="A273">
        <v>271</v>
      </c>
      <c r="B273" s="213" t="s">
        <v>613</v>
      </c>
      <c r="C273" s="213" t="s">
        <v>614</v>
      </c>
    </row>
    <row r="274" spans="1:3">
      <c r="A274">
        <v>272</v>
      </c>
      <c r="B274" t="s">
        <v>98</v>
      </c>
      <c r="C274" t="s">
        <v>615</v>
      </c>
    </row>
    <row r="275" spans="1:3">
      <c r="A275">
        <v>273</v>
      </c>
      <c r="B275" s="213" t="s">
        <v>616</v>
      </c>
      <c r="C275" s="213" t="s">
        <v>617</v>
      </c>
    </row>
    <row r="276" spans="1:3">
      <c r="A276">
        <v>274</v>
      </c>
      <c r="B276" t="s">
        <v>110</v>
      </c>
      <c r="C276" t="s">
        <v>618</v>
      </c>
    </row>
    <row r="277" spans="1:3">
      <c r="A277">
        <v>275</v>
      </c>
      <c r="B277" t="s">
        <v>99</v>
      </c>
      <c r="C277" t="s">
        <v>619</v>
      </c>
    </row>
    <row r="278" spans="1:3">
      <c r="A278">
        <v>276</v>
      </c>
      <c r="B278" s="213" t="s">
        <v>631</v>
      </c>
      <c r="C278" t="s">
        <v>620</v>
      </c>
    </row>
    <row r="279" spans="1:3">
      <c r="A279">
        <v>277</v>
      </c>
      <c r="B279" t="s">
        <v>100</v>
      </c>
      <c r="C279" t="s">
        <v>621</v>
      </c>
    </row>
    <row r="280" spans="1:3">
      <c r="A280">
        <v>278</v>
      </c>
      <c r="B280" t="s">
        <v>101</v>
      </c>
      <c r="C280" t="s">
        <v>101</v>
      </c>
    </row>
    <row r="281" spans="1:3">
      <c r="A281">
        <v>279</v>
      </c>
      <c r="B281" t="s">
        <v>102</v>
      </c>
      <c r="C281" t="s">
        <v>102</v>
      </c>
    </row>
    <row r="282" spans="1:3">
      <c r="A282">
        <v>280</v>
      </c>
      <c r="B282" t="s">
        <v>103</v>
      </c>
      <c r="C282" t="s">
        <v>103</v>
      </c>
    </row>
    <row r="283" spans="1:3">
      <c r="A283">
        <v>281</v>
      </c>
      <c r="B283" t="s">
        <v>104</v>
      </c>
      <c r="C283" t="s">
        <v>104</v>
      </c>
    </row>
    <row r="284" spans="1:3">
      <c r="A284">
        <v>282</v>
      </c>
      <c r="B284" t="s">
        <v>105</v>
      </c>
      <c r="C284" t="s">
        <v>105</v>
      </c>
    </row>
    <row r="285" spans="1:3">
      <c r="A285">
        <v>283</v>
      </c>
      <c r="B285" t="s">
        <v>106</v>
      </c>
      <c r="C285" t="s">
        <v>106</v>
      </c>
    </row>
    <row r="286" spans="1:3">
      <c r="A286">
        <v>284</v>
      </c>
      <c r="B286" t="s">
        <v>107</v>
      </c>
      <c r="C286" t="s">
        <v>107</v>
      </c>
    </row>
    <row r="287" spans="1:3">
      <c r="A287">
        <v>285</v>
      </c>
      <c r="B287" s="224" t="s">
        <v>622</v>
      </c>
      <c r="C287" s="224" t="s">
        <v>623</v>
      </c>
    </row>
    <row r="288" spans="1:3">
      <c r="A288">
        <v>286</v>
      </c>
      <c r="B288" s="224" t="s">
        <v>629</v>
      </c>
      <c r="C288" s="224" t="s">
        <v>630</v>
      </c>
    </row>
    <row r="289" spans="1:3">
      <c r="A289">
        <v>287</v>
      </c>
      <c r="B289" t="s">
        <v>108</v>
      </c>
      <c r="C289" t="s">
        <v>624</v>
      </c>
    </row>
    <row r="290" spans="1:3">
      <c r="A290">
        <v>288</v>
      </c>
      <c r="B290" t="s">
        <v>109</v>
      </c>
      <c r="C290" t="s">
        <v>625</v>
      </c>
    </row>
    <row r="291" spans="1:3">
      <c r="A291">
        <v>289</v>
      </c>
      <c r="B291" t="s">
        <v>122</v>
      </c>
      <c r="C291" t="s">
        <v>626</v>
      </c>
    </row>
    <row r="292" spans="1:3">
      <c r="A292">
        <v>290</v>
      </c>
      <c r="B292" t="s">
        <v>628</v>
      </c>
      <c r="C292" t="s">
        <v>627</v>
      </c>
    </row>
    <row r="293" spans="1:3">
      <c r="A293">
        <v>291</v>
      </c>
    </row>
    <row r="294" spans="1:3">
      <c r="A294">
        <v>292</v>
      </c>
    </row>
    <row r="295" spans="1:3">
      <c r="A295">
        <v>293</v>
      </c>
    </row>
    <row r="296" spans="1:3">
      <c r="A296">
        <v>294</v>
      </c>
    </row>
    <row r="297" spans="1:3">
      <c r="A297">
        <v>295</v>
      </c>
    </row>
    <row r="298" spans="1:3">
      <c r="A298">
        <v>296</v>
      </c>
    </row>
    <row r="299" spans="1:3">
      <c r="A299">
        <v>297</v>
      </c>
    </row>
    <row r="300" spans="1:3">
      <c r="A300">
        <v>298</v>
      </c>
    </row>
    <row r="301" spans="1:3">
      <c r="A301">
        <v>299</v>
      </c>
    </row>
    <row r="302" spans="1:3">
      <c r="A302">
        <v>300</v>
      </c>
    </row>
    <row r="303" spans="1:3">
      <c r="A303">
        <v>301</v>
      </c>
    </row>
    <row r="304" spans="1:3">
      <c r="A304">
        <v>302</v>
      </c>
    </row>
    <row r="305" spans="1:1">
      <c r="A305">
        <v>303</v>
      </c>
    </row>
    <row r="306" spans="1:1">
      <c r="A306">
        <v>304</v>
      </c>
    </row>
    <row r="307" spans="1:1">
      <c r="A307">
        <v>305</v>
      </c>
    </row>
    <row r="308" spans="1:1">
      <c r="A308">
        <v>306</v>
      </c>
    </row>
    <row r="309" spans="1:1">
      <c r="A309">
        <v>307</v>
      </c>
    </row>
    <row r="310" spans="1:1">
      <c r="A310">
        <v>308</v>
      </c>
    </row>
    <row r="311" spans="1:1">
      <c r="A311">
        <v>309</v>
      </c>
    </row>
    <row r="312" spans="1:1">
      <c r="A312">
        <v>310</v>
      </c>
    </row>
    <row r="313" spans="1:1">
      <c r="A313">
        <v>311</v>
      </c>
    </row>
    <row r="314" spans="1:1">
      <c r="A314">
        <v>312</v>
      </c>
    </row>
    <row r="315" spans="1:1">
      <c r="A315">
        <v>313</v>
      </c>
    </row>
    <row r="316" spans="1:1">
      <c r="A316">
        <v>314</v>
      </c>
    </row>
    <row r="317" spans="1:1">
      <c r="A317">
        <v>315</v>
      </c>
    </row>
    <row r="318" spans="1:1">
      <c r="A318">
        <v>316</v>
      </c>
    </row>
    <row r="319" spans="1:1">
      <c r="A319">
        <v>317</v>
      </c>
    </row>
    <row r="320" spans="1:1">
      <c r="A320">
        <v>318</v>
      </c>
    </row>
    <row r="321" spans="1:1">
      <c r="A321">
        <v>319</v>
      </c>
    </row>
    <row r="322" spans="1:1">
      <c r="A322">
        <v>320</v>
      </c>
    </row>
    <row r="323" spans="1:1">
      <c r="A323">
        <v>321</v>
      </c>
    </row>
    <row r="324" spans="1:1">
      <c r="A324">
        <v>322</v>
      </c>
    </row>
    <row r="325" spans="1:1">
      <c r="A325">
        <v>323</v>
      </c>
    </row>
    <row r="326" spans="1:1">
      <c r="A326">
        <v>324</v>
      </c>
    </row>
    <row r="327" spans="1:1">
      <c r="A327">
        <v>325</v>
      </c>
    </row>
    <row r="328" spans="1:1">
      <c r="A328">
        <v>326</v>
      </c>
    </row>
    <row r="329" spans="1:1">
      <c r="A329">
        <v>327</v>
      </c>
    </row>
    <row r="330" spans="1:1">
      <c r="A330">
        <v>328</v>
      </c>
    </row>
    <row r="331" spans="1:1">
      <c r="A331">
        <v>329</v>
      </c>
    </row>
    <row r="332" spans="1:1">
      <c r="A332">
        <v>330</v>
      </c>
    </row>
    <row r="333" spans="1:1">
      <c r="A333">
        <v>331</v>
      </c>
    </row>
    <row r="334" spans="1:1">
      <c r="A334">
        <v>332</v>
      </c>
    </row>
    <row r="335" spans="1:1">
      <c r="A335">
        <v>333</v>
      </c>
    </row>
    <row r="336" spans="1:1">
      <c r="A336">
        <v>334</v>
      </c>
    </row>
    <row r="337" spans="1:1">
      <c r="A337">
        <v>335</v>
      </c>
    </row>
    <row r="338" spans="1:1">
      <c r="A338">
        <v>336</v>
      </c>
    </row>
    <row r="339" spans="1:1">
      <c r="A339">
        <v>337</v>
      </c>
    </row>
    <row r="340" spans="1:1">
      <c r="A340">
        <v>338</v>
      </c>
    </row>
    <row r="341" spans="1:1">
      <c r="A341">
        <v>339</v>
      </c>
    </row>
    <row r="342" spans="1:1">
      <c r="A342">
        <v>340</v>
      </c>
    </row>
    <row r="343" spans="1:1">
      <c r="A343">
        <v>341</v>
      </c>
    </row>
    <row r="344" spans="1:1">
      <c r="A344">
        <v>342</v>
      </c>
    </row>
    <row r="345" spans="1:1">
      <c r="A345">
        <v>343</v>
      </c>
    </row>
    <row r="346" spans="1:1">
      <c r="A346">
        <v>344</v>
      </c>
    </row>
    <row r="347" spans="1:1">
      <c r="A347">
        <v>345</v>
      </c>
    </row>
    <row r="348" spans="1:1">
      <c r="A348">
        <v>346</v>
      </c>
    </row>
    <row r="349" spans="1:1">
      <c r="A349">
        <v>347</v>
      </c>
    </row>
    <row r="350" spans="1:1">
      <c r="A350">
        <v>348</v>
      </c>
    </row>
    <row r="351" spans="1:1">
      <c r="A351">
        <v>349</v>
      </c>
    </row>
    <row r="352" spans="1:1">
      <c r="A352">
        <v>350</v>
      </c>
    </row>
    <row r="353" spans="1:1">
      <c r="A353">
        <v>351</v>
      </c>
    </row>
    <row r="354" spans="1:1">
      <c r="A354">
        <v>352</v>
      </c>
    </row>
    <row r="355" spans="1:1">
      <c r="A355">
        <v>353</v>
      </c>
    </row>
    <row r="356" spans="1:1">
      <c r="A356">
        <v>354</v>
      </c>
    </row>
    <row r="357" spans="1:1">
      <c r="A357">
        <v>355</v>
      </c>
    </row>
    <row r="358" spans="1:1">
      <c r="A358">
        <v>356</v>
      </c>
    </row>
    <row r="359" spans="1:1">
      <c r="A359">
        <v>357</v>
      </c>
    </row>
    <row r="360" spans="1:1">
      <c r="A360">
        <v>358</v>
      </c>
    </row>
    <row r="361" spans="1:1">
      <c r="A361">
        <v>359</v>
      </c>
    </row>
    <row r="362" spans="1:1">
      <c r="A362">
        <v>360</v>
      </c>
    </row>
    <row r="363" spans="1:1">
      <c r="A363">
        <v>361</v>
      </c>
    </row>
    <row r="364" spans="1:1">
      <c r="A364">
        <v>362</v>
      </c>
    </row>
    <row r="365" spans="1:1">
      <c r="A365">
        <v>363</v>
      </c>
    </row>
    <row r="366" spans="1:1">
      <c r="A366">
        <v>364</v>
      </c>
    </row>
    <row r="367" spans="1:1">
      <c r="A367">
        <v>365</v>
      </c>
    </row>
    <row r="368" spans="1:1">
      <c r="A368">
        <v>366</v>
      </c>
    </row>
    <row r="369" spans="1:1">
      <c r="A369">
        <v>367</v>
      </c>
    </row>
    <row r="370" spans="1:1">
      <c r="A370">
        <v>368</v>
      </c>
    </row>
    <row r="371" spans="1:1">
      <c r="A371">
        <v>369</v>
      </c>
    </row>
    <row r="372" spans="1:1">
      <c r="A372">
        <v>370</v>
      </c>
    </row>
    <row r="373" spans="1:1">
      <c r="A373">
        <v>371</v>
      </c>
    </row>
    <row r="374" spans="1:1">
      <c r="A374">
        <v>372</v>
      </c>
    </row>
    <row r="375" spans="1:1">
      <c r="A375">
        <v>373</v>
      </c>
    </row>
    <row r="376" spans="1:1">
      <c r="A376">
        <v>374</v>
      </c>
    </row>
    <row r="377" spans="1:1">
      <c r="A377">
        <v>375</v>
      </c>
    </row>
    <row r="378" spans="1:1">
      <c r="A378">
        <v>376</v>
      </c>
    </row>
    <row r="379" spans="1:1">
      <c r="A379">
        <v>377</v>
      </c>
    </row>
    <row r="380" spans="1:1">
      <c r="A380">
        <v>378</v>
      </c>
    </row>
    <row r="381" spans="1:1">
      <c r="A381">
        <v>379</v>
      </c>
    </row>
    <row r="382" spans="1:1">
      <c r="A382">
        <v>380</v>
      </c>
    </row>
    <row r="383" spans="1:1">
      <c r="A383">
        <v>381</v>
      </c>
    </row>
    <row r="384" spans="1:1">
      <c r="A384">
        <v>382</v>
      </c>
    </row>
    <row r="385" spans="1:1">
      <c r="A385">
        <v>383</v>
      </c>
    </row>
    <row r="386" spans="1:1">
      <c r="A386">
        <v>384</v>
      </c>
    </row>
    <row r="387" spans="1:1">
      <c r="A387">
        <v>385</v>
      </c>
    </row>
    <row r="388" spans="1:1">
      <c r="A388">
        <v>386</v>
      </c>
    </row>
    <row r="389" spans="1:1">
      <c r="A389">
        <v>387</v>
      </c>
    </row>
    <row r="390" spans="1:1">
      <c r="A390">
        <v>388</v>
      </c>
    </row>
    <row r="391" spans="1:1">
      <c r="A391">
        <v>389</v>
      </c>
    </row>
    <row r="392" spans="1:1">
      <c r="A392">
        <v>390</v>
      </c>
    </row>
    <row r="393" spans="1:1">
      <c r="A393">
        <v>391</v>
      </c>
    </row>
    <row r="394" spans="1:1">
      <c r="A394">
        <v>392</v>
      </c>
    </row>
    <row r="395" spans="1:1">
      <c r="A395">
        <v>393</v>
      </c>
    </row>
    <row r="396" spans="1:1">
      <c r="A396">
        <v>394</v>
      </c>
    </row>
    <row r="397" spans="1:1">
      <c r="A397">
        <v>395</v>
      </c>
    </row>
    <row r="398" spans="1:1">
      <c r="A398">
        <v>396</v>
      </c>
    </row>
    <row r="399" spans="1:1">
      <c r="A399">
        <v>397</v>
      </c>
    </row>
    <row r="400" spans="1:1">
      <c r="A400">
        <v>398</v>
      </c>
    </row>
  </sheetData>
  <sheetProtection sheet="1" objects="1" scenarios="1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E156"/>
  <sheetViews>
    <sheetView workbookViewId="0">
      <pane xSplit="1" ySplit="1" topLeftCell="B2" activePane="bottomRight" state="frozen"/>
      <selection activeCell="L38" sqref="L38"/>
      <selection pane="topRight" activeCell="L38" sqref="L38"/>
      <selection pane="bottomLeft" activeCell="L38" sqref="L38"/>
      <selection pane="bottomRight" activeCell="B2" sqref="B2"/>
    </sheetView>
  </sheetViews>
  <sheetFormatPr baseColWidth="10" defaultRowHeight="12.75"/>
  <cols>
    <col min="1" max="1" width="5.7109375" customWidth="1"/>
    <col min="2" max="2" width="30.7109375" customWidth="1"/>
    <col min="3" max="3" width="10" bestFit="1" customWidth="1"/>
    <col min="4" max="4" width="5.7109375" customWidth="1"/>
    <col min="5" max="5" width="8.7109375" customWidth="1"/>
  </cols>
  <sheetData>
    <row r="1" spans="1:5" s="84" customFormat="1">
      <c r="A1" s="84" t="str">
        <f>VLOOKUP(36,K_Texte,IF(K_Italienisch,3,2),FALSE)</f>
        <v>Nr.</v>
      </c>
      <c r="B1" s="140" t="str">
        <f>VLOOKUP(4,K_Texte,IF(K_Italienisch,3,2),FALSE)</f>
        <v>ARA Name</v>
      </c>
      <c r="C1" s="140" t="str">
        <f>VLOOKUP(5,K_Texte,IF(K_Italienisch,3,2),FALSE)</f>
        <v>ARA Nr.</v>
      </c>
      <c r="D1" s="140" t="str">
        <f>VLOOKUP(34,K_Texte,IF(K_Italienisch,3,2),FALSE)</f>
        <v>Kat.</v>
      </c>
      <c r="E1" s="140" t="str">
        <f>VLOOKUP(35,K_Texte,IF(K_Italienisch,3,2),FALSE)</f>
        <v>Sprache</v>
      </c>
    </row>
    <row r="2" spans="1:5">
      <c r="A2">
        <v>0</v>
      </c>
      <c r="B2" s="213" t="str">
        <f>VLOOKUP(32,K_Texte,IF(K_Italienisch,3,2),FALSE)</f>
        <v>bitte hier ARA wählen</v>
      </c>
      <c r="C2" s="209">
        <v>0</v>
      </c>
      <c r="D2">
        <v>0</v>
      </c>
      <c r="E2" s="213" t="s">
        <v>29</v>
      </c>
    </row>
    <row r="3" spans="1:5">
      <c r="A3">
        <f>A2+1</f>
        <v>1</v>
      </c>
      <c r="B3" s="213" t="s">
        <v>335</v>
      </c>
      <c r="C3" s="209">
        <v>354201</v>
      </c>
      <c r="D3">
        <v>0</v>
      </c>
      <c r="E3" s="213" t="s">
        <v>29</v>
      </c>
    </row>
    <row r="4" spans="1:5">
      <c r="A4">
        <f t="shared" ref="A4:A67" si="0">A3+1</f>
        <v>2</v>
      </c>
      <c r="B4" s="213" t="s">
        <v>336</v>
      </c>
      <c r="C4" s="209">
        <v>354202</v>
      </c>
      <c r="D4">
        <v>0</v>
      </c>
      <c r="E4" s="213" t="s">
        <v>29</v>
      </c>
    </row>
    <row r="5" spans="1:5">
      <c r="A5">
        <f t="shared" si="0"/>
        <v>3</v>
      </c>
      <c r="B5" s="213" t="s">
        <v>337</v>
      </c>
      <c r="C5" s="209">
        <v>354203</v>
      </c>
      <c r="D5">
        <v>0</v>
      </c>
      <c r="E5" s="213" t="s">
        <v>29</v>
      </c>
    </row>
    <row r="6" spans="1:5">
      <c r="A6">
        <f t="shared" si="0"/>
        <v>4</v>
      </c>
      <c r="B6" s="213" t="s">
        <v>30</v>
      </c>
      <c r="C6" s="209">
        <v>392101</v>
      </c>
      <c r="D6">
        <v>0</v>
      </c>
      <c r="E6" s="213" t="s">
        <v>29</v>
      </c>
    </row>
    <row r="7" spans="1:5">
      <c r="A7">
        <f t="shared" si="0"/>
        <v>5</v>
      </c>
      <c r="B7" s="213" t="s">
        <v>301</v>
      </c>
      <c r="C7" s="209">
        <v>392102</v>
      </c>
      <c r="D7">
        <v>0</v>
      </c>
      <c r="E7" s="213" t="s">
        <v>29</v>
      </c>
    </row>
    <row r="8" spans="1:5">
      <c r="A8">
        <f t="shared" si="0"/>
        <v>6</v>
      </c>
      <c r="B8" s="213" t="s">
        <v>302</v>
      </c>
      <c r="C8" s="209">
        <v>392105</v>
      </c>
      <c r="D8">
        <v>0</v>
      </c>
      <c r="E8" s="213" t="s">
        <v>29</v>
      </c>
    </row>
    <row r="9" spans="1:5">
      <c r="A9">
        <f t="shared" si="0"/>
        <v>7</v>
      </c>
      <c r="B9" s="213" t="s">
        <v>303</v>
      </c>
      <c r="C9" s="209">
        <v>392104</v>
      </c>
      <c r="D9">
        <v>0</v>
      </c>
      <c r="E9" s="213" t="s">
        <v>29</v>
      </c>
    </row>
    <row r="10" spans="1:5">
      <c r="A10">
        <f t="shared" si="0"/>
        <v>8</v>
      </c>
      <c r="B10" s="213" t="s">
        <v>304</v>
      </c>
      <c r="C10" s="209">
        <v>392103</v>
      </c>
      <c r="D10">
        <v>0</v>
      </c>
      <c r="E10" s="213" t="s">
        <v>29</v>
      </c>
    </row>
    <row r="11" spans="1:5">
      <c r="A11">
        <f t="shared" si="0"/>
        <v>9</v>
      </c>
      <c r="B11" s="213" t="s">
        <v>357</v>
      </c>
      <c r="C11" s="209">
        <v>368186</v>
      </c>
      <c r="D11">
        <v>8</v>
      </c>
      <c r="E11" s="213" t="s">
        <v>29</v>
      </c>
    </row>
    <row r="12" spans="1:5">
      <c r="A12">
        <f t="shared" si="0"/>
        <v>10</v>
      </c>
      <c r="B12" t="s">
        <v>358</v>
      </c>
      <c r="C12" s="209">
        <v>368182</v>
      </c>
      <c r="D12">
        <v>8</v>
      </c>
      <c r="E12" t="s">
        <v>29</v>
      </c>
    </row>
    <row r="13" spans="1:5">
      <c r="A13">
        <f t="shared" si="0"/>
        <v>11</v>
      </c>
      <c r="B13" t="s">
        <v>32</v>
      </c>
      <c r="C13" s="209">
        <v>368101</v>
      </c>
      <c r="D13">
        <v>0</v>
      </c>
      <c r="E13" t="s">
        <v>29</v>
      </c>
    </row>
    <row r="14" spans="1:5">
      <c r="A14">
        <f t="shared" si="0"/>
        <v>12</v>
      </c>
      <c r="B14" t="s">
        <v>359</v>
      </c>
      <c r="C14" s="209">
        <v>368184</v>
      </c>
      <c r="D14">
        <v>8</v>
      </c>
      <c r="E14" t="s">
        <v>29</v>
      </c>
    </row>
    <row r="15" spans="1:5">
      <c r="A15">
        <f t="shared" si="0"/>
        <v>13</v>
      </c>
      <c r="B15" t="s">
        <v>360</v>
      </c>
      <c r="C15" s="209">
        <v>368104</v>
      </c>
      <c r="D15">
        <v>0</v>
      </c>
      <c r="E15" t="s">
        <v>29</v>
      </c>
    </row>
    <row r="16" spans="1:5">
      <c r="A16">
        <f t="shared" si="0"/>
        <v>14</v>
      </c>
      <c r="B16" t="s">
        <v>238</v>
      </c>
      <c r="C16" s="209">
        <v>368102</v>
      </c>
      <c r="D16">
        <v>0</v>
      </c>
      <c r="E16" t="s">
        <v>29</v>
      </c>
    </row>
    <row r="17" spans="1:5">
      <c r="A17">
        <f t="shared" si="0"/>
        <v>15</v>
      </c>
      <c r="B17" t="s">
        <v>361</v>
      </c>
      <c r="C17" s="209">
        <v>368187</v>
      </c>
      <c r="D17">
        <v>8</v>
      </c>
      <c r="E17" t="s">
        <v>29</v>
      </c>
    </row>
    <row r="18" spans="1:5">
      <c r="A18">
        <f t="shared" si="0"/>
        <v>16</v>
      </c>
      <c r="B18" t="s">
        <v>362</v>
      </c>
      <c r="C18" s="209">
        <v>368185</v>
      </c>
      <c r="D18">
        <v>8</v>
      </c>
      <c r="E18" t="s">
        <v>29</v>
      </c>
    </row>
    <row r="19" spans="1:5">
      <c r="A19">
        <f t="shared" si="0"/>
        <v>17</v>
      </c>
      <c r="B19" t="s">
        <v>334</v>
      </c>
      <c r="C19" s="209">
        <v>368103</v>
      </c>
      <c r="D19">
        <v>0</v>
      </c>
      <c r="E19" t="s">
        <v>29</v>
      </c>
    </row>
    <row r="20" spans="1:5">
      <c r="A20">
        <f t="shared" si="0"/>
        <v>18</v>
      </c>
      <c r="B20" t="s">
        <v>375</v>
      </c>
      <c r="C20" s="209">
        <v>354401</v>
      </c>
      <c r="D20">
        <v>0</v>
      </c>
      <c r="E20" t="s">
        <v>29</v>
      </c>
    </row>
    <row r="21" spans="1:5">
      <c r="A21">
        <f t="shared" si="0"/>
        <v>19</v>
      </c>
      <c r="B21" t="s">
        <v>632</v>
      </c>
      <c r="C21" s="209">
        <v>354402</v>
      </c>
      <c r="D21">
        <v>0</v>
      </c>
      <c r="E21" t="s">
        <v>29</v>
      </c>
    </row>
    <row r="22" spans="1:5">
      <c r="A22">
        <f t="shared" si="0"/>
        <v>20</v>
      </c>
      <c r="B22" t="s">
        <v>638</v>
      </c>
      <c r="C22" s="209">
        <v>354403</v>
      </c>
      <c r="D22">
        <v>0</v>
      </c>
      <c r="E22" t="s">
        <v>29</v>
      </c>
    </row>
    <row r="23" spans="1:5">
      <c r="A23">
        <f t="shared" si="0"/>
        <v>21</v>
      </c>
      <c r="B23" t="s">
        <v>639</v>
      </c>
      <c r="C23" s="209">
        <v>354404</v>
      </c>
      <c r="D23">
        <v>0</v>
      </c>
      <c r="E23" t="s">
        <v>29</v>
      </c>
    </row>
    <row r="24" spans="1:5">
      <c r="A24">
        <f t="shared" si="0"/>
        <v>22</v>
      </c>
      <c r="B24" t="s">
        <v>635</v>
      </c>
      <c r="C24" s="209">
        <v>378101</v>
      </c>
      <c r="D24">
        <v>0</v>
      </c>
      <c r="E24" t="s">
        <v>29</v>
      </c>
    </row>
    <row r="25" spans="1:5">
      <c r="A25">
        <f t="shared" si="0"/>
        <v>23</v>
      </c>
      <c r="B25" t="s">
        <v>378</v>
      </c>
      <c r="C25" s="209">
        <v>379205</v>
      </c>
      <c r="D25">
        <v>0</v>
      </c>
      <c r="E25" t="s">
        <v>29</v>
      </c>
    </row>
    <row r="26" spans="1:5">
      <c r="A26">
        <f t="shared" si="0"/>
        <v>24</v>
      </c>
      <c r="B26" t="s">
        <v>633</v>
      </c>
      <c r="C26" s="209">
        <v>379206</v>
      </c>
      <c r="D26">
        <v>0</v>
      </c>
      <c r="E26" t="s">
        <v>29</v>
      </c>
    </row>
    <row r="27" spans="1:5">
      <c r="A27">
        <f t="shared" si="0"/>
        <v>25</v>
      </c>
      <c r="B27" t="s">
        <v>338</v>
      </c>
      <c r="C27" s="209">
        <v>379204</v>
      </c>
      <c r="D27">
        <v>0</v>
      </c>
      <c r="E27" t="s">
        <v>29</v>
      </c>
    </row>
    <row r="28" spans="1:5">
      <c r="A28">
        <f t="shared" si="0"/>
        <v>26</v>
      </c>
      <c r="B28" t="s">
        <v>33</v>
      </c>
      <c r="C28" s="209">
        <v>398101</v>
      </c>
      <c r="D28">
        <v>0</v>
      </c>
      <c r="E28" t="s">
        <v>29</v>
      </c>
    </row>
    <row r="29" spans="1:5">
      <c r="A29">
        <f t="shared" si="0"/>
        <v>27</v>
      </c>
      <c r="B29" t="s">
        <v>34</v>
      </c>
      <c r="C29" s="209">
        <v>355101</v>
      </c>
      <c r="D29">
        <v>0</v>
      </c>
      <c r="E29" t="s">
        <v>31</v>
      </c>
    </row>
    <row r="30" spans="1:5">
      <c r="A30">
        <f t="shared" si="0"/>
        <v>28</v>
      </c>
      <c r="B30" t="s">
        <v>363</v>
      </c>
      <c r="C30" s="209">
        <v>356181</v>
      </c>
      <c r="D30">
        <v>8</v>
      </c>
      <c r="E30" t="s">
        <v>31</v>
      </c>
    </row>
    <row r="31" spans="1:5">
      <c r="A31">
        <f t="shared" si="0"/>
        <v>29</v>
      </c>
      <c r="B31" t="s">
        <v>364</v>
      </c>
      <c r="C31" s="209">
        <v>380401</v>
      </c>
      <c r="D31">
        <v>0</v>
      </c>
      <c r="E31" t="s">
        <v>31</v>
      </c>
    </row>
    <row r="32" spans="1:5">
      <c r="A32">
        <f t="shared" si="0"/>
        <v>30</v>
      </c>
      <c r="B32" t="s">
        <v>365</v>
      </c>
      <c r="C32" s="209">
        <v>380402</v>
      </c>
      <c r="D32">
        <v>0</v>
      </c>
      <c r="E32" t="s">
        <v>31</v>
      </c>
    </row>
    <row r="33" spans="1:5">
      <c r="A33">
        <f t="shared" si="0"/>
        <v>31</v>
      </c>
      <c r="B33" t="s">
        <v>339</v>
      </c>
      <c r="C33" s="209">
        <v>383701</v>
      </c>
      <c r="D33">
        <v>0</v>
      </c>
      <c r="E33" t="s">
        <v>31</v>
      </c>
    </row>
    <row r="34" spans="1:5">
      <c r="A34">
        <f t="shared" si="0"/>
        <v>32</v>
      </c>
      <c r="B34" t="s">
        <v>386</v>
      </c>
      <c r="C34" s="209">
        <v>383706</v>
      </c>
      <c r="D34">
        <v>0</v>
      </c>
      <c r="E34" t="s">
        <v>31</v>
      </c>
    </row>
    <row r="35" spans="1:5">
      <c r="A35">
        <f t="shared" si="0"/>
        <v>33</v>
      </c>
      <c r="B35" t="s">
        <v>379</v>
      </c>
      <c r="C35" s="209">
        <v>383702</v>
      </c>
      <c r="D35">
        <v>0</v>
      </c>
      <c r="E35" t="s">
        <v>31</v>
      </c>
    </row>
    <row r="36" spans="1:5">
      <c r="A36">
        <f t="shared" si="0"/>
        <v>34</v>
      </c>
      <c r="B36" t="s">
        <v>387</v>
      </c>
      <c r="C36" s="209">
        <v>383705</v>
      </c>
      <c r="D36">
        <v>0</v>
      </c>
      <c r="E36" t="s">
        <v>31</v>
      </c>
    </row>
    <row r="37" spans="1:5">
      <c r="A37">
        <f t="shared" si="0"/>
        <v>35</v>
      </c>
      <c r="B37" t="s">
        <v>390</v>
      </c>
      <c r="C37" s="209">
        <v>383704</v>
      </c>
      <c r="D37">
        <v>0</v>
      </c>
      <c r="E37" t="s">
        <v>31</v>
      </c>
    </row>
    <row r="38" spans="1:5">
      <c r="A38">
        <f t="shared" si="0"/>
        <v>36</v>
      </c>
      <c r="B38" t="s">
        <v>388</v>
      </c>
      <c r="C38" s="209">
        <v>383703</v>
      </c>
      <c r="D38">
        <v>0</v>
      </c>
      <c r="E38" t="s">
        <v>31</v>
      </c>
    </row>
    <row r="39" spans="1:5">
      <c r="A39">
        <f t="shared" si="0"/>
        <v>37</v>
      </c>
      <c r="B39" t="s">
        <v>35</v>
      </c>
      <c r="C39" s="209">
        <v>380501</v>
      </c>
      <c r="D39">
        <v>0</v>
      </c>
      <c r="E39" t="s">
        <v>31</v>
      </c>
    </row>
    <row r="40" spans="1:5">
      <c r="A40">
        <f t="shared" si="0"/>
        <v>38</v>
      </c>
      <c r="B40" t="s">
        <v>36</v>
      </c>
      <c r="C40" s="209">
        <v>366101</v>
      </c>
      <c r="D40">
        <v>0</v>
      </c>
      <c r="E40" t="s">
        <v>29</v>
      </c>
    </row>
    <row r="41" spans="1:5">
      <c r="A41">
        <f t="shared" si="0"/>
        <v>39</v>
      </c>
      <c r="B41" t="s">
        <v>37</v>
      </c>
      <c r="C41" s="209">
        <v>390101</v>
      </c>
      <c r="D41">
        <v>0</v>
      </c>
      <c r="E41" t="s">
        <v>29</v>
      </c>
    </row>
    <row r="42" spans="1:5">
      <c r="A42">
        <f t="shared" si="0"/>
        <v>40</v>
      </c>
      <c r="B42" t="s">
        <v>391</v>
      </c>
      <c r="C42" s="209">
        <v>385107</v>
      </c>
      <c r="D42">
        <v>0</v>
      </c>
      <c r="E42" t="s">
        <v>29</v>
      </c>
    </row>
    <row r="43" spans="1:5">
      <c r="A43">
        <f t="shared" si="0"/>
        <v>41</v>
      </c>
      <c r="B43" t="s">
        <v>38</v>
      </c>
      <c r="C43" s="209">
        <v>385102</v>
      </c>
      <c r="D43">
        <v>0</v>
      </c>
      <c r="E43" t="s">
        <v>29</v>
      </c>
    </row>
    <row r="44" spans="1:5">
      <c r="A44">
        <f t="shared" si="0"/>
        <v>42</v>
      </c>
      <c r="B44" t="s">
        <v>39</v>
      </c>
      <c r="C44" s="209">
        <v>385103</v>
      </c>
      <c r="D44">
        <v>0</v>
      </c>
      <c r="E44" t="s">
        <v>29</v>
      </c>
    </row>
    <row r="45" spans="1:5">
      <c r="A45">
        <f t="shared" si="0"/>
        <v>43</v>
      </c>
      <c r="B45" t="s">
        <v>40</v>
      </c>
      <c r="C45" s="209">
        <v>385104</v>
      </c>
      <c r="D45">
        <v>0</v>
      </c>
      <c r="E45" t="s">
        <v>29</v>
      </c>
    </row>
    <row r="46" spans="1:5">
      <c r="A46">
        <f t="shared" si="0"/>
        <v>44</v>
      </c>
      <c r="B46" t="s">
        <v>392</v>
      </c>
      <c r="C46" s="209">
        <v>385106</v>
      </c>
      <c r="D46">
        <v>0</v>
      </c>
      <c r="E46" t="s">
        <v>29</v>
      </c>
    </row>
    <row r="47" spans="1:5">
      <c r="A47">
        <f t="shared" si="0"/>
        <v>45</v>
      </c>
      <c r="B47" t="s">
        <v>235</v>
      </c>
      <c r="C47" s="209">
        <v>385105</v>
      </c>
      <c r="D47">
        <v>0</v>
      </c>
      <c r="E47" t="s">
        <v>29</v>
      </c>
    </row>
    <row r="48" spans="1:5">
      <c r="A48">
        <f t="shared" si="0"/>
        <v>46</v>
      </c>
      <c r="B48" t="s">
        <v>41</v>
      </c>
      <c r="C48" s="209">
        <v>398201</v>
      </c>
      <c r="D48">
        <v>0</v>
      </c>
      <c r="E48" t="s">
        <v>29</v>
      </c>
    </row>
    <row r="49" spans="1:5">
      <c r="A49">
        <f t="shared" si="0"/>
        <v>47</v>
      </c>
      <c r="B49" t="s">
        <v>636</v>
      </c>
      <c r="C49" s="209">
        <v>398204</v>
      </c>
      <c r="D49">
        <v>0</v>
      </c>
      <c r="E49" t="s">
        <v>29</v>
      </c>
    </row>
    <row r="50" spans="1:5">
      <c r="A50">
        <f t="shared" si="0"/>
        <v>48</v>
      </c>
      <c r="B50" t="s">
        <v>389</v>
      </c>
      <c r="C50" s="209">
        <v>398203</v>
      </c>
      <c r="D50">
        <v>0</v>
      </c>
      <c r="E50" t="s">
        <v>29</v>
      </c>
    </row>
    <row r="51" spans="1:5">
      <c r="A51">
        <f t="shared" si="0"/>
        <v>49</v>
      </c>
      <c r="B51" t="s">
        <v>42</v>
      </c>
      <c r="C51" s="209">
        <v>398202</v>
      </c>
      <c r="D51">
        <v>0</v>
      </c>
      <c r="E51" t="s">
        <v>29</v>
      </c>
    </row>
    <row r="52" spans="1:5">
      <c r="A52">
        <f t="shared" si="0"/>
        <v>50</v>
      </c>
      <c r="B52" t="s">
        <v>43</v>
      </c>
      <c r="C52" s="209">
        <v>372211</v>
      </c>
      <c r="D52">
        <v>1</v>
      </c>
      <c r="E52" t="s">
        <v>29</v>
      </c>
    </row>
    <row r="53" spans="1:5">
      <c r="A53">
        <f t="shared" si="0"/>
        <v>51</v>
      </c>
      <c r="B53" t="s">
        <v>226</v>
      </c>
      <c r="C53" s="209">
        <v>371301</v>
      </c>
      <c r="D53">
        <v>0</v>
      </c>
      <c r="E53" t="s">
        <v>29</v>
      </c>
    </row>
    <row r="54" spans="1:5">
      <c r="A54">
        <f t="shared" si="0"/>
        <v>52</v>
      </c>
      <c r="B54" t="s">
        <v>340</v>
      </c>
      <c r="C54" s="209">
        <v>371302</v>
      </c>
      <c r="D54">
        <v>0</v>
      </c>
      <c r="E54" t="s">
        <v>29</v>
      </c>
    </row>
    <row r="55" spans="1:5">
      <c r="A55">
        <f t="shared" si="0"/>
        <v>53</v>
      </c>
      <c r="B55" t="s">
        <v>373</v>
      </c>
      <c r="C55" s="209">
        <v>371303</v>
      </c>
      <c r="D55">
        <v>0</v>
      </c>
      <c r="E55" t="s">
        <v>29</v>
      </c>
    </row>
    <row r="56" spans="1:5">
      <c r="A56">
        <f t="shared" si="0"/>
        <v>54</v>
      </c>
      <c r="B56" t="s">
        <v>44</v>
      </c>
      <c r="C56" s="209">
        <v>373201</v>
      </c>
      <c r="D56">
        <v>0</v>
      </c>
      <c r="E56" t="s">
        <v>29</v>
      </c>
    </row>
    <row r="57" spans="1:5">
      <c r="A57">
        <f t="shared" si="0"/>
        <v>55</v>
      </c>
      <c r="B57" t="s">
        <v>328</v>
      </c>
      <c r="C57" s="209">
        <v>361903</v>
      </c>
      <c r="D57">
        <v>0</v>
      </c>
      <c r="E57" t="s">
        <v>29</v>
      </c>
    </row>
    <row r="58" spans="1:5">
      <c r="A58">
        <f t="shared" si="0"/>
        <v>56</v>
      </c>
      <c r="B58" t="s">
        <v>329</v>
      </c>
      <c r="C58" s="209">
        <v>361902</v>
      </c>
      <c r="D58">
        <v>0</v>
      </c>
      <c r="E58" t="s">
        <v>29</v>
      </c>
    </row>
    <row r="59" spans="1:5">
      <c r="A59">
        <f t="shared" si="0"/>
        <v>57</v>
      </c>
      <c r="B59" t="s">
        <v>330</v>
      </c>
      <c r="C59" s="209">
        <v>361905</v>
      </c>
      <c r="D59">
        <v>0</v>
      </c>
      <c r="E59" t="s">
        <v>29</v>
      </c>
    </row>
    <row r="60" spans="1:5">
      <c r="A60">
        <f t="shared" si="0"/>
        <v>58</v>
      </c>
      <c r="B60" t="s">
        <v>331</v>
      </c>
      <c r="C60" s="209">
        <v>361904</v>
      </c>
      <c r="D60">
        <v>0</v>
      </c>
      <c r="E60" t="s">
        <v>29</v>
      </c>
    </row>
    <row r="61" spans="1:5">
      <c r="A61">
        <f t="shared" si="0"/>
        <v>59</v>
      </c>
      <c r="B61" t="s">
        <v>332</v>
      </c>
      <c r="C61" s="209">
        <v>361901</v>
      </c>
      <c r="D61">
        <v>0</v>
      </c>
      <c r="E61" t="s">
        <v>29</v>
      </c>
    </row>
    <row r="62" spans="1:5">
      <c r="A62">
        <f t="shared" si="0"/>
        <v>60</v>
      </c>
      <c r="B62" t="s">
        <v>398</v>
      </c>
      <c r="C62" s="209">
        <v>387101</v>
      </c>
      <c r="D62">
        <v>0</v>
      </c>
      <c r="E62" t="s">
        <v>29</v>
      </c>
    </row>
    <row r="63" spans="1:5">
      <c r="A63">
        <f t="shared" si="0"/>
        <v>61</v>
      </c>
      <c r="B63" t="s">
        <v>399</v>
      </c>
      <c r="C63" s="209">
        <v>387102</v>
      </c>
      <c r="D63">
        <v>0</v>
      </c>
      <c r="E63" t="s">
        <v>29</v>
      </c>
    </row>
    <row r="64" spans="1:5">
      <c r="A64">
        <f t="shared" si="0"/>
        <v>62</v>
      </c>
      <c r="B64" t="s">
        <v>239</v>
      </c>
      <c r="C64" s="209">
        <v>395501</v>
      </c>
      <c r="D64">
        <v>0</v>
      </c>
      <c r="E64" t="s">
        <v>29</v>
      </c>
    </row>
    <row r="65" spans="1:5">
      <c r="A65">
        <f t="shared" si="0"/>
        <v>63</v>
      </c>
      <c r="B65" t="s">
        <v>240</v>
      </c>
      <c r="C65" s="209">
        <v>395511</v>
      </c>
      <c r="D65">
        <v>1</v>
      </c>
      <c r="E65" t="s">
        <v>29</v>
      </c>
    </row>
    <row r="66" spans="1:5">
      <c r="A66">
        <f t="shared" si="0"/>
        <v>64</v>
      </c>
      <c r="B66" t="s">
        <v>45</v>
      </c>
      <c r="C66" s="209">
        <v>382101</v>
      </c>
      <c r="D66">
        <v>0</v>
      </c>
      <c r="E66" t="s">
        <v>31</v>
      </c>
    </row>
    <row r="67" spans="1:5">
      <c r="A67">
        <f t="shared" si="0"/>
        <v>65</v>
      </c>
      <c r="B67" t="s">
        <v>305</v>
      </c>
      <c r="C67" s="209">
        <v>36180006</v>
      </c>
      <c r="D67">
        <v>0</v>
      </c>
      <c r="E67" t="s">
        <v>29</v>
      </c>
    </row>
    <row r="68" spans="1:5">
      <c r="A68">
        <f t="shared" ref="A68:A131" si="1">A67+1</f>
        <v>66</v>
      </c>
      <c r="B68" t="s">
        <v>306</v>
      </c>
      <c r="C68" s="209">
        <v>36180002</v>
      </c>
      <c r="D68">
        <v>0</v>
      </c>
      <c r="E68" t="s">
        <v>29</v>
      </c>
    </row>
    <row r="69" spans="1:5">
      <c r="A69">
        <f t="shared" si="1"/>
        <v>67</v>
      </c>
      <c r="B69" t="s">
        <v>307</v>
      </c>
      <c r="C69" s="209">
        <v>36180007</v>
      </c>
      <c r="D69">
        <v>0</v>
      </c>
      <c r="E69" t="s">
        <v>29</v>
      </c>
    </row>
    <row r="70" spans="1:5">
      <c r="A70">
        <f t="shared" si="1"/>
        <v>68</v>
      </c>
      <c r="B70" t="s">
        <v>308</v>
      </c>
      <c r="C70" s="209">
        <v>36180003</v>
      </c>
      <c r="D70">
        <v>0</v>
      </c>
      <c r="E70" t="s">
        <v>29</v>
      </c>
    </row>
    <row r="71" spans="1:5">
      <c r="A71">
        <f t="shared" si="1"/>
        <v>69</v>
      </c>
      <c r="B71" t="s">
        <v>309</v>
      </c>
      <c r="C71" s="209">
        <v>36180005</v>
      </c>
      <c r="D71">
        <v>0</v>
      </c>
      <c r="E71" t="s">
        <v>29</v>
      </c>
    </row>
    <row r="72" spans="1:5">
      <c r="A72">
        <f t="shared" si="1"/>
        <v>70</v>
      </c>
      <c r="B72" t="s">
        <v>366</v>
      </c>
      <c r="C72" s="209">
        <v>36180012</v>
      </c>
      <c r="D72">
        <v>0</v>
      </c>
      <c r="E72" t="s">
        <v>29</v>
      </c>
    </row>
    <row r="73" spans="1:5">
      <c r="A73">
        <f t="shared" si="1"/>
        <v>71</v>
      </c>
      <c r="B73" t="s">
        <v>367</v>
      </c>
      <c r="C73" s="209">
        <v>36180013</v>
      </c>
      <c r="D73">
        <v>0</v>
      </c>
      <c r="E73" t="s">
        <v>29</v>
      </c>
    </row>
    <row r="74" spans="1:5">
      <c r="A74">
        <f t="shared" si="1"/>
        <v>72</v>
      </c>
      <c r="B74" t="s">
        <v>393</v>
      </c>
      <c r="C74" s="209">
        <v>36180011</v>
      </c>
      <c r="D74">
        <v>0</v>
      </c>
      <c r="E74" t="s">
        <v>29</v>
      </c>
    </row>
    <row r="75" spans="1:5">
      <c r="A75">
        <f t="shared" si="1"/>
        <v>73</v>
      </c>
      <c r="B75" t="s">
        <v>310</v>
      </c>
      <c r="C75" s="209">
        <v>36180008</v>
      </c>
      <c r="D75">
        <v>0</v>
      </c>
      <c r="E75" t="s">
        <v>29</v>
      </c>
    </row>
    <row r="76" spans="1:5">
      <c r="A76">
        <f t="shared" si="1"/>
        <v>74</v>
      </c>
      <c r="B76" t="s">
        <v>311</v>
      </c>
      <c r="C76" s="209">
        <v>36180004</v>
      </c>
      <c r="D76">
        <v>0</v>
      </c>
      <c r="E76" t="s">
        <v>29</v>
      </c>
    </row>
    <row r="77" spans="1:5">
      <c r="A77">
        <f t="shared" si="1"/>
        <v>75</v>
      </c>
      <c r="B77" t="s">
        <v>312</v>
      </c>
      <c r="C77" s="209">
        <v>36180001</v>
      </c>
      <c r="D77">
        <v>0</v>
      </c>
      <c r="E77" t="s">
        <v>29</v>
      </c>
    </row>
    <row r="78" spans="1:5">
      <c r="A78">
        <f t="shared" si="1"/>
        <v>76</v>
      </c>
      <c r="B78" t="s">
        <v>313</v>
      </c>
      <c r="C78" s="209">
        <v>36180009</v>
      </c>
      <c r="D78">
        <v>0</v>
      </c>
      <c r="E78" t="s">
        <v>29</v>
      </c>
    </row>
    <row r="79" spans="1:5">
      <c r="A79">
        <f t="shared" si="1"/>
        <v>77</v>
      </c>
      <c r="B79" t="s">
        <v>46</v>
      </c>
      <c r="C79" s="209">
        <v>389101</v>
      </c>
      <c r="D79">
        <v>0</v>
      </c>
      <c r="E79" t="s">
        <v>29</v>
      </c>
    </row>
    <row r="80" spans="1:5">
      <c r="A80">
        <f t="shared" si="1"/>
        <v>78</v>
      </c>
      <c r="B80" t="s">
        <v>47</v>
      </c>
      <c r="C80" s="209">
        <v>398302</v>
      </c>
      <c r="D80">
        <v>0</v>
      </c>
      <c r="E80" t="s">
        <v>29</v>
      </c>
    </row>
    <row r="81" spans="1:5">
      <c r="A81">
        <f t="shared" si="1"/>
        <v>79</v>
      </c>
      <c r="B81" t="s">
        <v>48</v>
      </c>
      <c r="C81" s="209">
        <v>398301</v>
      </c>
      <c r="D81">
        <v>0</v>
      </c>
      <c r="E81" t="s">
        <v>29</v>
      </c>
    </row>
    <row r="82" spans="1:5">
      <c r="A82">
        <f t="shared" si="1"/>
        <v>80</v>
      </c>
      <c r="B82" t="s">
        <v>368</v>
      </c>
      <c r="C82" s="209">
        <v>382202</v>
      </c>
      <c r="D82">
        <v>0</v>
      </c>
      <c r="E82" t="s">
        <v>31</v>
      </c>
    </row>
    <row r="83" spans="1:5">
      <c r="A83">
        <f t="shared" si="1"/>
        <v>81</v>
      </c>
      <c r="B83" t="s">
        <v>49</v>
      </c>
      <c r="C83" s="209">
        <v>382201</v>
      </c>
      <c r="D83">
        <v>0</v>
      </c>
      <c r="E83" t="s">
        <v>31</v>
      </c>
    </row>
    <row r="84" spans="1:5">
      <c r="A84">
        <f t="shared" si="1"/>
        <v>82</v>
      </c>
      <c r="B84" t="s">
        <v>350</v>
      </c>
      <c r="C84" s="209">
        <v>398802</v>
      </c>
      <c r="D84">
        <v>0</v>
      </c>
      <c r="E84" t="s">
        <v>29</v>
      </c>
    </row>
    <row r="85" spans="1:5">
      <c r="A85">
        <f t="shared" si="1"/>
        <v>83</v>
      </c>
      <c r="B85" t="s">
        <v>351</v>
      </c>
      <c r="C85" s="209">
        <v>398801</v>
      </c>
      <c r="D85">
        <v>0</v>
      </c>
      <c r="E85" t="s">
        <v>29</v>
      </c>
    </row>
    <row r="86" spans="1:5">
      <c r="A86">
        <f t="shared" si="1"/>
        <v>84</v>
      </c>
      <c r="B86" t="s">
        <v>50</v>
      </c>
      <c r="C86" s="209">
        <v>356101</v>
      </c>
      <c r="D86">
        <v>0</v>
      </c>
      <c r="E86" t="s">
        <v>31</v>
      </c>
    </row>
    <row r="87" spans="1:5">
      <c r="A87">
        <f t="shared" si="1"/>
        <v>85</v>
      </c>
      <c r="B87" t="s">
        <v>51</v>
      </c>
      <c r="C87" s="209">
        <v>372311</v>
      </c>
      <c r="D87">
        <v>1</v>
      </c>
      <c r="E87" t="s">
        <v>29</v>
      </c>
    </row>
    <row r="88" spans="1:5">
      <c r="A88">
        <f t="shared" si="1"/>
        <v>86</v>
      </c>
      <c r="B88" t="s">
        <v>380</v>
      </c>
      <c r="C88" s="209">
        <v>371404</v>
      </c>
      <c r="D88">
        <v>0</v>
      </c>
      <c r="E88" t="s">
        <v>29</v>
      </c>
    </row>
    <row r="89" spans="1:5">
      <c r="A89">
        <f t="shared" si="1"/>
        <v>87</v>
      </c>
      <c r="B89" t="s">
        <v>381</v>
      </c>
      <c r="C89" s="209">
        <v>371402</v>
      </c>
      <c r="D89">
        <v>0</v>
      </c>
      <c r="E89" t="s">
        <v>29</v>
      </c>
    </row>
    <row r="90" spans="1:5">
      <c r="A90">
        <f t="shared" si="1"/>
        <v>88</v>
      </c>
      <c r="B90" t="s">
        <v>382</v>
      </c>
      <c r="C90" s="209">
        <v>371403</v>
      </c>
      <c r="D90">
        <v>0</v>
      </c>
      <c r="E90" t="s">
        <v>29</v>
      </c>
    </row>
    <row r="91" spans="1:5">
      <c r="A91">
        <f t="shared" si="1"/>
        <v>89</v>
      </c>
      <c r="B91" t="s">
        <v>383</v>
      </c>
      <c r="C91" s="209">
        <v>371401</v>
      </c>
      <c r="D91">
        <v>0</v>
      </c>
      <c r="E91" t="s">
        <v>29</v>
      </c>
    </row>
    <row r="92" spans="1:5">
      <c r="A92">
        <f t="shared" si="1"/>
        <v>90</v>
      </c>
      <c r="B92" t="s">
        <v>52</v>
      </c>
      <c r="C92" s="209">
        <v>371101</v>
      </c>
      <c r="D92">
        <v>0</v>
      </c>
      <c r="E92" t="s">
        <v>29</v>
      </c>
    </row>
    <row r="93" spans="1:5">
      <c r="A93">
        <f t="shared" si="1"/>
        <v>91</v>
      </c>
      <c r="B93" t="s">
        <v>53</v>
      </c>
      <c r="C93" s="209">
        <v>380801</v>
      </c>
      <c r="D93">
        <v>0</v>
      </c>
      <c r="E93" t="s">
        <v>31</v>
      </c>
    </row>
    <row r="94" spans="1:5">
      <c r="A94">
        <f t="shared" si="1"/>
        <v>92</v>
      </c>
      <c r="B94" t="s">
        <v>369</v>
      </c>
      <c r="C94" s="209">
        <v>36720011</v>
      </c>
      <c r="D94">
        <v>0</v>
      </c>
      <c r="E94" t="s">
        <v>29</v>
      </c>
    </row>
    <row r="95" spans="1:5">
      <c r="A95">
        <f t="shared" si="1"/>
        <v>93</v>
      </c>
      <c r="B95" t="s">
        <v>314</v>
      </c>
      <c r="C95" s="209">
        <v>36720003</v>
      </c>
      <c r="D95">
        <v>0</v>
      </c>
      <c r="E95" t="s">
        <v>29</v>
      </c>
    </row>
    <row r="96" spans="1:5">
      <c r="A96">
        <f t="shared" si="1"/>
        <v>94</v>
      </c>
      <c r="B96" t="s">
        <v>349</v>
      </c>
      <c r="C96" s="209">
        <v>36720008</v>
      </c>
      <c r="D96">
        <v>0</v>
      </c>
      <c r="E96" t="s">
        <v>29</v>
      </c>
    </row>
    <row r="97" spans="1:5">
      <c r="A97">
        <f t="shared" si="1"/>
        <v>95</v>
      </c>
      <c r="B97" t="s">
        <v>370</v>
      </c>
      <c r="C97" s="209">
        <v>36720012</v>
      </c>
      <c r="D97">
        <v>0</v>
      </c>
      <c r="E97" t="s">
        <v>29</v>
      </c>
    </row>
    <row r="98" spans="1:5">
      <c r="A98">
        <f t="shared" si="1"/>
        <v>96</v>
      </c>
      <c r="B98" t="s">
        <v>640</v>
      </c>
      <c r="C98" s="209">
        <v>36720013</v>
      </c>
      <c r="D98">
        <v>0</v>
      </c>
      <c r="E98" t="s">
        <v>29</v>
      </c>
    </row>
    <row r="99" spans="1:5">
      <c r="A99">
        <f t="shared" si="1"/>
        <v>97</v>
      </c>
      <c r="B99" t="s">
        <v>315</v>
      </c>
      <c r="C99" s="209">
        <v>36720005</v>
      </c>
      <c r="D99">
        <v>0</v>
      </c>
      <c r="E99" t="s">
        <v>29</v>
      </c>
    </row>
    <row r="100" spans="1:5">
      <c r="A100">
        <f t="shared" si="1"/>
        <v>98</v>
      </c>
      <c r="B100" t="s">
        <v>371</v>
      </c>
      <c r="C100" s="209">
        <v>36728003</v>
      </c>
      <c r="D100">
        <v>8</v>
      </c>
      <c r="E100" t="s">
        <v>29</v>
      </c>
    </row>
    <row r="101" spans="1:5">
      <c r="A101">
        <f t="shared" si="1"/>
        <v>99</v>
      </c>
      <c r="B101" t="s">
        <v>372</v>
      </c>
      <c r="C101" s="209">
        <v>36720010</v>
      </c>
      <c r="D101">
        <v>0</v>
      </c>
      <c r="E101" t="s">
        <v>29</v>
      </c>
    </row>
    <row r="102" spans="1:5">
      <c r="A102">
        <f t="shared" si="1"/>
        <v>100</v>
      </c>
      <c r="B102" t="s">
        <v>316</v>
      </c>
      <c r="C102" s="209">
        <v>36720002</v>
      </c>
      <c r="D102">
        <v>0</v>
      </c>
      <c r="E102" t="s">
        <v>29</v>
      </c>
    </row>
    <row r="103" spans="1:5">
      <c r="A103">
        <f t="shared" si="1"/>
        <v>101</v>
      </c>
      <c r="B103" t="s">
        <v>317</v>
      </c>
      <c r="C103" s="209">
        <v>36720006</v>
      </c>
      <c r="D103">
        <v>0</v>
      </c>
      <c r="E103" t="s">
        <v>29</v>
      </c>
    </row>
    <row r="104" spans="1:5">
      <c r="A104">
        <f t="shared" si="1"/>
        <v>102</v>
      </c>
      <c r="B104" t="s">
        <v>384</v>
      </c>
      <c r="C104" s="209">
        <v>36720009</v>
      </c>
      <c r="D104">
        <v>0</v>
      </c>
      <c r="E104" t="s">
        <v>29</v>
      </c>
    </row>
    <row r="105" spans="1:5">
      <c r="A105">
        <f t="shared" si="1"/>
        <v>103</v>
      </c>
      <c r="B105" t="s">
        <v>318</v>
      </c>
      <c r="C105" s="209">
        <v>36720004</v>
      </c>
      <c r="D105">
        <v>0</v>
      </c>
      <c r="E105" t="s">
        <v>29</v>
      </c>
    </row>
    <row r="106" spans="1:5">
      <c r="A106">
        <f t="shared" si="1"/>
        <v>104</v>
      </c>
      <c r="B106" t="s">
        <v>319</v>
      </c>
      <c r="C106" s="209">
        <v>36720001</v>
      </c>
      <c r="D106">
        <v>0</v>
      </c>
      <c r="E106" t="s">
        <v>29</v>
      </c>
    </row>
    <row r="107" spans="1:5">
      <c r="A107">
        <f t="shared" si="1"/>
        <v>105</v>
      </c>
      <c r="B107" t="s">
        <v>374</v>
      </c>
      <c r="C107" s="209">
        <v>36720007</v>
      </c>
      <c r="D107">
        <v>0</v>
      </c>
      <c r="E107" t="s">
        <v>29</v>
      </c>
    </row>
    <row r="108" spans="1:5">
      <c r="A108">
        <f t="shared" si="1"/>
        <v>106</v>
      </c>
      <c r="B108" t="s">
        <v>54</v>
      </c>
      <c r="C108" s="209">
        <v>375201</v>
      </c>
      <c r="D108">
        <v>0</v>
      </c>
      <c r="E108" t="s">
        <v>29</v>
      </c>
    </row>
    <row r="109" spans="1:5">
      <c r="A109">
        <f t="shared" si="1"/>
        <v>107</v>
      </c>
      <c r="B109" t="s">
        <v>400</v>
      </c>
      <c r="C109" s="209">
        <v>378802</v>
      </c>
      <c r="D109">
        <v>0</v>
      </c>
      <c r="E109" t="s">
        <v>29</v>
      </c>
    </row>
    <row r="110" spans="1:5">
      <c r="A110">
        <f t="shared" si="1"/>
        <v>108</v>
      </c>
      <c r="B110" t="s">
        <v>237</v>
      </c>
      <c r="C110" s="209">
        <v>396201</v>
      </c>
      <c r="D110">
        <v>0</v>
      </c>
      <c r="E110" t="s">
        <v>29</v>
      </c>
    </row>
    <row r="111" spans="1:5">
      <c r="A111">
        <f t="shared" si="1"/>
        <v>109</v>
      </c>
      <c r="B111" t="s">
        <v>55</v>
      </c>
      <c r="C111" s="209">
        <v>358201</v>
      </c>
      <c r="D111">
        <v>0</v>
      </c>
      <c r="E111" t="s">
        <v>29</v>
      </c>
    </row>
    <row r="112" spans="1:5">
      <c r="A112">
        <f t="shared" si="1"/>
        <v>110</v>
      </c>
      <c r="B112" t="s">
        <v>341</v>
      </c>
      <c r="C112" s="209">
        <v>376204</v>
      </c>
      <c r="D112">
        <v>0</v>
      </c>
      <c r="E112" t="s">
        <v>29</v>
      </c>
    </row>
    <row r="113" spans="1:5">
      <c r="A113">
        <f t="shared" si="1"/>
        <v>111</v>
      </c>
      <c r="B113" t="s">
        <v>342</v>
      </c>
      <c r="C113" s="209">
        <v>376207</v>
      </c>
      <c r="D113">
        <v>0</v>
      </c>
      <c r="E113" t="s">
        <v>29</v>
      </c>
    </row>
    <row r="114" spans="1:5">
      <c r="A114">
        <f t="shared" si="1"/>
        <v>112</v>
      </c>
      <c r="B114" t="s">
        <v>343</v>
      </c>
      <c r="C114" s="209">
        <v>376203</v>
      </c>
      <c r="D114">
        <v>0</v>
      </c>
      <c r="E114" t="s">
        <v>29</v>
      </c>
    </row>
    <row r="115" spans="1:5">
      <c r="A115">
        <f t="shared" si="1"/>
        <v>113</v>
      </c>
      <c r="B115" t="s">
        <v>344</v>
      </c>
      <c r="C115" s="209">
        <v>376205</v>
      </c>
      <c r="D115">
        <v>0</v>
      </c>
      <c r="E115" t="s">
        <v>29</v>
      </c>
    </row>
    <row r="116" spans="1:5">
      <c r="A116">
        <f t="shared" si="1"/>
        <v>114</v>
      </c>
      <c r="B116" t="s">
        <v>236</v>
      </c>
      <c r="C116" s="209">
        <v>376202</v>
      </c>
      <c r="D116">
        <v>0</v>
      </c>
      <c r="E116" t="s">
        <v>29</v>
      </c>
    </row>
    <row r="117" spans="1:5">
      <c r="A117">
        <f t="shared" si="1"/>
        <v>115</v>
      </c>
      <c r="B117" t="s">
        <v>56</v>
      </c>
      <c r="C117" s="209">
        <v>376201</v>
      </c>
      <c r="D117">
        <v>0</v>
      </c>
      <c r="E117" t="s">
        <v>29</v>
      </c>
    </row>
    <row r="118" spans="1:5">
      <c r="A118">
        <f t="shared" si="1"/>
        <v>116</v>
      </c>
      <c r="B118" t="s">
        <v>345</v>
      </c>
      <c r="C118" s="209">
        <v>376206</v>
      </c>
      <c r="D118">
        <v>0</v>
      </c>
      <c r="E118" t="s">
        <v>29</v>
      </c>
    </row>
    <row r="119" spans="1:5">
      <c r="A119">
        <f t="shared" si="1"/>
        <v>117</v>
      </c>
      <c r="B119" t="s">
        <v>57</v>
      </c>
      <c r="C119" s="209">
        <v>397201</v>
      </c>
      <c r="D119">
        <v>0</v>
      </c>
      <c r="E119" t="s">
        <v>29</v>
      </c>
    </row>
    <row r="120" spans="1:5">
      <c r="A120">
        <f t="shared" si="1"/>
        <v>118</v>
      </c>
      <c r="B120" t="s">
        <v>58</v>
      </c>
      <c r="C120" s="209">
        <v>378902</v>
      </c>
      <c r="D120">
        <v>0</v>
      </c>
      <c r="E120" t="s">
        <v>29</v>
      </c>
    </row>
    <row r="121" spans="1:5">
      <c r="A121">
        <f t="shared" si="1"/>
        <v>119</v>
      </c>
      <c r="B121" t="s">
        <v>394</v>
      </c>
      <c r="C121" s="209">
        <v>378904</v>
      </c>
      <c r="D121">
        <v>0</v>
      </c>
      <c r="E121" t="s">
        <v>29</v>
      </c>
    </row>
    <row r="122" spans="1:5">
      <c r="A122">
        <f t="shared" si="1"/>
        <v>120</v>
      </c>
      <c r="B122" t="s">
        <v>333</v>
      </c>
      <c r="C122" s="209">
        <v>378903</v>
      </c>
      <c r="D122">
        <v>0</v>
      </c>
      <c r="E122" t="s">
        <v>29</v>
      </c>
    </row>
    <row r="123" spans="1:5">
      <c r="A123">
        <f t="shared" si="1"/>
        <v>121</v>
      </c>
      <c r="B123" t="s">
        <v>634</v>
      </c>
      <c r="C123" s="209">
        <v>378905</v>
      </c>
      <c r="D123">
        <v>0</v>
      </c>
      <c r="E123" t="s">
        <v>29</v>
      </c>
    </row>
    <row r="124" spans="1:5">
      <c r="A124">
        <f t="shared" si="1"/>
        <v>122</v>
      </c>
      <c r="B124" t="s">
        <v>59</v>
      </c>
      <c r="C124" s="209">
        <v>379001</v>
      </c>
      <c r="D124">
        <v>0</v>
      </c>
      <c r="E124" t="s">
        <v>29</v>
      </c>
    </row>
    <row r="125" spans="1:5">
      <c r="A125">
        <f t="shared" si="1"/>
        <v>123</v>
      </c>
      <c r="B125" t="s">
        <v>60</v>
      </c>
      <c r="C125" s="209">
        <v>369501</v>
      </c>
      <c r="D125">
        <v>0</v>
      </c>
      <c r="E125" t="s">
        <v>29</v>
      </c>
    </row>
    <row r="126" spans="1:5">
      <c r="A126">
        <f t="shared" si="1"/>
        <v>124</v>
      </c>
      <c r="B126" t="s">
        <v>61</v>
      </c>
      <c r="C126" s="209">
        <v>398501</v>
      </c>
      <c r="D126">
        <v>0</v>
      </c>
      <c r="E126" t="s">
        <v>29</v>
      </c>
    </row>
    <row r="127" spans="1:5">
      <c r="A127">
        <f t="shared" si="1"/>
        <v>125</v>
      </c>
      <c r="B127" t="s">
        <v>637</v>
      </c>
      <c r="C127" s="209">
        <v>398502</v>
      </c>
      <c r="D127">
        <v>0</v>
      </c>
      <c r="E127" t="s">
        <v>29</v>
      </c>
    </row>
    <row r="128" spans="1:5">
      <c r="A128">
        <f t="shared" si="1"/>
        <v>126</v>
      </c>
      <c r="B128" t="s">
        <v>641</v>
      </c>
      <c r="C128" s="209">
        <v>354306</v>
      </c>
      <c r="D128">
        <v>0</v>
      </c>
      <c r="E128" t="s">
        <v>29</v>
      </c>
    </row>
    <row r="129" spans="1:5">
      <c r="A129">
        <f t="shared" si="1"/>
        <v>127</v>
      </c>
      <c r="B129" t="s">
        <v>642</v>
      </c>
      <c r="C129" s="209">
        <v>354307</v>
      </c>
      <c r="D129">
        <v>0</v>
      </c>
      <c r="E129" t="s">
        <v>29</v>
      </c>
    </row>
    <row r="130" spans="1:5">
      <c r="A130">
        <f t="shared" si="1"/>
        <v>128</v>
      </c>
      <c r="B130" t="s">
        <v>352</v>
      </c>
      <c r="C130" s="209">
        <v>354302</v>
      </c>
      <c r="D130">
        <v>0</v>
      </c>
      <c r="E130" t="s">
        <v>29</v>
      </c>
    </row>
    <row r="131" spans="1:5">
      <c r="A131">
        <f t="shared" si="1"/>
        <v>129</v>
      </c>
      <c r="B131" t="s">
        <v>353</v>
      </c>
      <c r="C131" s="209">
        <v>354301</v>
      </c>
      <c r="D131">
        <v>0</v>
      </c>
      <c r="E131" t="s">
        <v>29</v>
      </c>
    </row>
    <row r="132" spans="1:5">
      <c r="A132">
        <f t="shared" ref="A132:A155" si="2">A131+1</f>
        <v>130</v>
      </c>
      <c r="B132" t="s">
        <v>354</v>
      </c>
      <c r="C132" s="209">
        <v>354303</v>
      </c>
      <c r="D132">
        <v>0</v>
      </c>
      <c r="E132" t="s">
        <v>29</v>
      </c>
    </row>
    <row r="133" spans="1:5">
      <c r="A133">
        <f t="shared" si="2"/>
        <v>131</v>
      </c>
      <c r="B133" t="s">
        <v>355</v>
      </c>
      <c r="C133" s="209">
        <v>354304</v>
      </c>
      <c r="D133">
        <v>0</v>
      </c>
      <c r="E133" t="s">
        <v>29</v>
      </c>
    </row>
    <row r="134" spans="1:5">
      <c r="A134">
        <f t="shared" si="2"/>
        <v>132</v>
      </c>
      <c r="B134" t="s">
        <v>356</v>
      </c>
      <c r="C134" s="209">
        <v>354305</v>
      </c>
      <c r="D134">
        <v>0</v>
      </c>
      <c r="E134" t="s">
        <v>29</v>
      </c>
    </row>
    <row r="135" spans="1:5">
      <c r="A135">
        <f t="shared" si="2"/>
        <v>133</v>
      </c>
      <c r="B135" t="s">
        <v>376</v>
      </c>
      <c r="C135" s="209">
        <v>366801</v>
      </c>
      <c r="D135">
        <v>0</v>
      </c>
      <c r="E135" t="s">
        <v>29</v>
      </c>
    </row>
    <row r="136" spans="1:5">
      <c r="A136">
        <f t="shared" si="2"/>
        <v>134</v>
      </c>
      <c r="B136" t="s">
        <v>62</v>
      </c>
      <c r="C136" s="209">
        <v>394511</v>
      </c>
      <c r="D136">
        <v>1</v>
      </c>
      <c r="E136" t="s">
        <v>29</v>
      </c>
    </row>
    <row r="137" spans="1:5">
      <c r="A137">
        <f t="shared" si="2"/>
        <v>135</v>
      </c>
      <c r="B137" t="s">
        <v>63</v>
      </c>
      <c r="C137" s="209">
        <v>373402</v>
      </c>
      <c r="D137">
        <v>0</v>
      </c>
      <c r="E137" t="s">
        <v>29</v>
      </c>
    </row>
    <row r="138" spans="1:5">
      <c r="A138">
        <f t="shared" si="2"/>
        <v>136</v>
      </c>
      <c r="B138" t="s">
        <v>64</v>
      </c>
      <c r="C138" s="209">
        <v>398701</v>
      </c>
      <c r="D138">
        <v>0</v>
      </c>
      <c r="E138" t="s">
        <v>29</v>
      </c>
    </row>
    <row r="139" spans="1:5">
      <c r="A139">
        <f t="shared" si="2"/>
        <v>137</v>
      </c>
      <c r="B139" t="s">
        <v>377</v>
      </c>
      <c r="C139" s="209">
        <v>366901</v>
      </c>
      <c r="D139">
        <v>0</v>
      </c>
      <c r="E139" t="s">
        <v>29</v>
      </c>
    </row>
    <row r="140" spans="1:5">
      <c r="A140">
        <f t="shared" si="2"/>
        <v>138</v>
      </c>
      <c r="B140" t="s">
        <v>65</v>
      </c>
      <c r="C140" s="209">
        <v>398601</v>
      </c>
      <c r="D140">
        <v>0</v>
      </c>
      <c r="E140" t="s">
        <v>29</v>
      </c>
    </row>
    <row r="141" spans="1:5">
      <c r="A141">
        <f t="shared" si="2"/>
        <v>139</v>
      </c>
      <c r="B141" t="s">
        <v>66</v>
      </c>
      <c r="C141" s="209">
        <v>398602</v>
      </c>
      <c r="D141">
        <v>0</v>
      </c>
      <c r="E141" t="s">
        <v>29</v>
      </c>
    </row>
    <row r="142" spans="1:5">
      <c r="A142">
        <f t="shared" si="2"/>
        <v>140</v>
      </c>
      <c r="B142" t="s">
        <v>67</v>
      </c>
      <c r="C142" s="209">
        <v>360301</v>
      </c>
      <c r="D142">
        <v>0</v>
      </c>
      <c r="E142" t="s">
        <v>29</v>
      </c>
    </row>
    <row r="143" spans="1:5">
      <c r="A143">
        <f t="shared" si="2"/>
        <v>141</v>
      </c>
      <c r="B143" t="s">
        <v>643</v>
      </c>
      <c r="C143" s="209">
        <v>360303</v>
      </c>
      <c r="D143">
        <v>0</v>
      </c>
      <c r="E143" t="s">
        <v>29</v>
      </c>
    </row>
    <row r="144" spans="1:5">
      <c r="A144">
        <f t="shared" si="2"/>
        <v>142</v>
      </c>
      <c r="B144" t="s">
        <v>346</v>
      </c>
      <c r="C144" s="209">
        <v>360302</v>
      </c>
      <c r="D144">
        <v>0</v>
      </c>
      <c r="E144" t="s">
        <v>29</v>
      </c>
    </row>
    <row r="145" spans="1:5">
      <c r="A145">
        <f t="shared" si="2"/>
        <v>143</v>
      </c>
      <c r="B145" t="s">
        <v>320</v>
      </c>
      <c r="C145" s="209">
        <v>376402</v>
      </c>
      <c r="D145">
        <v>0</v>
      </c>
      <c r="E145" t="s">
        <v>29</v>
      </c>
    </row>
    <row r="146" spans="1:5">
      <c r="A146">
        <f t="shared" si="2"/>
        <v>144</v>
      </c>
      <c r="B146" t="s">
        <v>321</v>
      </c>
      <c r="C146" s="209">
        <v>376401</v>
      </c>
      <c r="D146">
        <v>0</v>
      </c>
      <c r="E146" t="s">
        <v>29</v>
      </c>
    </row>
    <row r="147" spans="1:5">
      <c r="A147">
        <f t="shared" si="2"/>
        <v>145</v>
      </c>
      <c r="B147" t="s">
        <v>322</v>
      </c>
      <c r="C147" s="209">
        <v>376403</v>
      </c>
      <c r="D147">
        <v>0</v>
      </c>
      <c r="E147" t="s">
        <v>29</v>
      </c>
    </row>
    <row r="148" spans="1:5">
      <c r="A148">
        <f t="shared" si="2"/>
        <v>146</v>
      </c>
      <c r="B148" t="s">
        <v>323</v>
      </c>
      <c r="C148" s="209">
        <v>376404</v>
      </c>
      <c r="D148">
        <v>0</v>
      </c>
      <c r="E148" t="s">
        <v>29</v>
      </c>
    </row>
    <row r="149" spans="1:5">
      <c r="A149">
        <f t="shared" si="2"/>
        <v>147</v>
      </c>
      <c r="B149" t="s">
        <v>68</v>
      </c>
      <c r="C149" s="209">
        <v>350602</v>
      </c>
      <c r="D149">
        <v>0</v>
      </c>
      <c r="E149" t="s">
        <v>29</v>
      </c>
    </row>
    <row r="150" spans="1:5">
      <c r="A150">
        <f t="shared" si="2"/>
        <v>148</v>
      </c>
      <c r="B150" t="s">
        <v>69</v>
      </c>
      <c r="C150" s="209">
        <v>350601</v>
      </c>
      <c r="D150">
        <v>0</v>
      </c>
      <c r="E150" t="s">
        <v>29</v>
      </c>
    </row>
    <row r="151" spans="1:5">
      <c r="A151">
        <f t="shared" si="2"/>
        <v>149</v>
      </c>
      <c r="B151" t="s">
        <v>70</v>
      </c>
      <c r="C151" s="209">
        <v>374601</v>
      </c>
      <c r="D151">
        <v>0</v>
      </c>
      <c r="E151" t="s">
        <v>29</v>
      </c>
    </row>
    <row r="152" spans="1:5">
      <c r="A152">
        <f t="shared" si="2"/>
        <v>150</v>
      </c>
      <c r="B152" t="s">
        <v>71</v>
      </c>
      <c r="C152" s="209">
        <v>374602</v>
      </c>
      <c r="D152">
        <v>0</v>
      </c>
      <c r="E152" t="s">
        <v>29</v>
      </c>
    </row>
    <row r="153" spans="1:5">
      <c r="A153">
        <f t="shared" si="2"/>
        <v>151</v>
      </c>
      <c r="B153" t="s">
        <v>347</v>
      </c>
      <c r="C153" s="209">
        <v>374603</v>
      </c>
      <c r="D153">
        <v>0</v>
      </c>
      <c r="E153" t="s">
        <v>29</v>
      </c>
    </row>
    <row r="154" spans="1:5">
      <c r="A154">
        <f t="shared" si="2"/>
        <v>152</v>
      </c>
      <c r="B154" t="s">
        <v>348</v>
      </c>
      <c r="C154" s="209">
        <v>374604</v>
      </c>
      <c r="D154">
        <v>0</v>
      </c>
      <c r="E154" t="s">
        <v>29</v>
      </c>
    </row>
    <row r="155" spans="1:5">
      <c r="A155">
        <f t="shared" si="2"/>
        <v>153</v>
      </c>
      <c r="B155" t="s">
        <v>72</v>
      </c>
      <c r="C155" s="209">
        <v>371201</v>
      </c>
      <c r="D155">
        <v>0</v>
      </c>
      <c r="E155" t="s">
        <v>29</v>
      </c>
    </row>
    <row r="156" spans="1:5">
      <c r="A156">
        <v>999</v>
      </c>
      <c r="B156" t="str">
        <f>VLOOKUP(33,K_Texte,IF(K_Italienisch,3,2),FALSE)</f>
        <v>nicht aufgeführt</v>
      </c>
      <c r="C156" s="209">
        <v>999999</v>
      </c>
      <c r="D156">
        <v>0</v>
      </c>
      <c r="E156" t="s">
        <v>29</v>
      </c>
    </row>
  </sheetData>
  <sheetProtection sheet="1" objects="1" scenarios="1"/>
  <phoneticPr fontId="2" type="noConversion"/>
  <pageMargins left="0.78740157499999996" right="0.78740157499999996" top="0.984251969" bottom="0.984251969" header="0.5" footer="0.5"/>
  <pageSetup paperSize="9" orientation="portrait" r:id="rId1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/>
  <dimension ref="A1:AM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8.7109375" defaultRowHeight="12.75"/>
  <cols>
    <col min="2" max="2" width="8.7109375" customWidth="1"/>
  </cols>
  <sheetData>
    <row r="1" spans="1:39">
      <c r="A1" s="139" t="s">
        <v>261</v>
      </c>
      <c r="B1" s="139" t="s">
        <v>262</v>
      </c>
      <c r="C1" s="139" t="s">
        <v>263</v>
      </c>
      <c r="D1" s="139" t="s">
        <v>264</v>
      </c>
      <c r="E1" s="139" t="s">
        <v>265</v>
      </c>
      <c r="F1" s="139" t="s">
        <v>266</v>
      </c>
      <c r="G1" s="139" t="s">
        <v>267</v>
      </c>
      <c r="H1" s="139" t="s">
        <v>268</v>
      </c>
      <c r="I1" s="139" t="s">
        <v>324</v>
      </c>
      <c r="J1" s="139" t="s">
        <v>269</v>
      </c>
      <c r="K1" s="139" t="s">
        <v>270</v>
      </c>
      <c r="L1" s="139" t="s">
        <v>271</v>
      </c>
      <c r="M1" s="139" t="s">
        <v>272</v>
      </c>
      <c r="N1" s="139" t="s">
        <v>273</v>
      </c>
      <c r="O1" s="139" t="s">
        <v>274</v>
      </c>
      <c r="P1" s="139" t="s">
        <v>275</v>
      </c>
      <c r="Q1" s="139" t="s">
        <v>276</v>
      </c>
      <c r="R1" s="139" t="s">
        <v>277</v>
      </c>
      <c r="S1" s="139" t="s">
        <v>278</v>
      </c>
      <c r="T1" s="139" t="s">
        <v>279</v>
      </c>
      <c r="U1" s="139" t="s">
        <v>280</v>
      </c>
      <c r="V1" s="139" t="s">
        <v>281</v>
      </c>
      <c r="W1" s="139" t="s">
        <v>325</v>
      </c>
      <c r="X1" s="139" t="s">
        <v>282</v>
      </c>
      <c r="Y1" s="139" t="s">
        <v>283</v>
      </c>
      <c r="Z1" s="139" t="s">
        <v>284</v>
      </c>
      <c r="AA1" s="139" t="s">
        <v>285</v>
      </c>
      <c r="AB1" s="139" t="s">
        <v>286</v>
      </c>
      <c r="AC1" s="139" t="s">
        <v>287</v>
      </c>
      <c r="AD1" s="139" t="s">
        <v>288</v>
      </c>
      <c r="AE1" s="139" t="s">
        <v>289</v>
      </c>
      <c r="AF1" s="139" t="s">
        <v>290</v>
      </c>
      <c r="AG1" s="139" t="s">
        <v>291</v>
      </c>
      <c r="AH1" s="139" t="s">
        <v>292</v>
      </c>
      <c r="AI1" s="139" t="s">
        <v>293</v>
      </c>
      <c r="AJ1" s="139" t="s">
        <v>294</v>
      </c>
      <c r="AK1" s="139" t="s">
        <v>295</v>
      </c>
      <c r="AL1" s="139" t="s">
        <v>326</v>
      </c>
      <c r="AM1" s="139" t="s">
        <v>327</v>
      </c>
    </row>
    <row r="2" spans="1:39">
      <c r="A2" t="str">
        <f>Betriebsdaten!$D$4</f>
        <v>bitte hier ARA wählen</v>
      </c>
      <c r="B2" s="209">
        <f>Betriebsdaten!$D$5</f>
        <v>0</v>
      </c>
      <c r="C2">
        <f>Betriebsdaten!$D$2</f>
        <v>2025</v>
      </c>
      <c r="D2">
        <f>Betriebsdaten!$D$8</f>
        <v>0</v>
      </c>
      <c r="E2">
        <f>Betriebsdaten!$D$9</f>
        <v>0</v>
      </c>
      <c r="F2">
        <f>Betriebsdaten!$D$12</f>
        <v>0</v>
      </c>
      <c r="G2">
        <f>Betriebsdaten!$D$13</f>
        <v>0</v>
      </c>
      <c r="H2">
        <f>Betriebsdaten!$D$14</f>
        <v>0</v>
      </c>
      <c r="I2">
        <f>Betriebsdaten!$D$15</f>
        <v>0</v>
      </c>
      <c r="J2">
        <f>Betriebsdaten!$D$18</f>
        <v>0</v>
      </c>
      <c r="K2">
        <f>Betriebsdaten!$D$19</f>
        <v>0</v>
      </c>
      <c r="L2">
        <f>Betriebsdaten!$D$21</f>
        <v>0</v>
      </c>
      <c r="M2">
        <f>Betriebsdaten!$D$22</f>
        <v>0</v>
      </c>
      <c r="N2">
        <f>Betriebsdaten!$D$23</f>
        <v>0</v>
      </c>
      <c r="O2">
        <f>Betriebsdaten!$D$24</f>
        <v>0</v>
      </c>
      <c r="P2">
        <f>Betriebsdaten!$D$26</f>
        <v>0</v>
      </c>
      <c r="Q2">
        <f>Betriebsdaten!$D$27</f>
        <v>0</v>
      </c>
      <c r="R2">
        <f>Betriebsdaten!$D$28</f>
        <v>0</v>
      </c>
      <c r="S2">
        <f>Betriebsdaten!$D$29</f>
        <v>0</v>
      </c>
      <c r="T2">
        <f>Betriebsdaten!$D$31</f>
        <v>0</v>
      </c>
      <c r="U2">
        <f>Betriebsdaten!$D$32</f>
        <v>0</v>
      </c>
      <c r="V2">
        <f>Betriebsdaten!$D$34</f>
        <v>0</v>
      </c>
      <c r="W2">
        <f>Betriebsdaten!$D$35</f>
        <v>0</v>
      </c>
      <c r="X2" s="139">
        <f>Entsorgung!$E$49</f>
        <v>0</v>
      </c>
      <c r="Y2">
        <f>IF(Entsorgung!$K$55,1,IF(Entsorgung!$K$56,2,IF(Entsorgung!$K$57,3, IF(Entsorgung!$K$58,9,0))))</f>
        <v>0</v>
      </c>
      <c r="Z2">
        <f>Entsorgung!$E$73</f>
        <v>0</v>
      </c>
      <c r="AB2" t="str">
        <f>Entsorgung!$E$51 &amp; Entsorgung!$F$51 &amp; Entsorgung!$G$51</f>
        <v/>
      </c>
      <c r="AC2" t="str">
        <f>Entsorgung!$E$53 &amp; Entsorgung!$F$53 &amp; Entsorgung!$G$53</f>
        <v/>
      </c>
      <c r="AD2" s="155">
        <f>Entsorgung!$D$14</f>
        <v>0</v>
      </c>
      <c r="AE2" s="155">
        <f>Entsorgung!$F$14</f>
        <v>0</v>
      </c>
      <c r="AF2" s="155">
        <f>Entsorgung!$D$20</f>
        <v>0</v>
      </c>
      <c r="AG2" s="155">
        <f>Entsorgung!$F$20</f>
        <v>0</v>
      </c>
      <c r="AH2" s="155">
        <f>Entsorgung!$D$26</f>
        <v>0</v>
      </c>
      <c r="AI2" s="155">
        <f>Entsorgung!$F$26</f>
        <v>0</v>
      </c>
      <c r="AJ2" s="155">
        <f>Entsorgung!$D$32</f>
        <v>0</v>
      </c>
      <c r="AK2" s="155">
        <f>Entsorgung!$F$32</f>
        <v>0</v>
      </c>
      <c r="AL2" s="155">
        <f>Entsorgung!$D$41</f>
        <v>0</v>
      </c>
      <c r="AM2" s="155">
        <f>Entsorgung!$D$42</f>
        <v>0</v>
      </c>
    </row>
  </sheetData>
  <sheetProtection sheet="1"/>
  <phoneticPr fontId="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9A4BAD06C92748B2C8CA92399C5FA3" ma:contentTypeVersion="19" ma:contentTypeDescription="Ein neues Dokument erstellen." ma:contentTypeScope="" ma:versionID="c537bb793cc754175739f95182e760bb">
  <xsd:schema xmlns:xsd="http://www.w3.org/2001/XMLSchema" xmlns:xs="http://www.w3.org/2001/XMLSchema" xmlns:p="http://schemas.microsoft.com/office/2006/metadata/properties" xmlns:ns1="http://schemas.microsoft.com/sharepoint/v3" xmlns:ns2="aaa33bb4-a131-48f4-9bc1-82a00e57a64a" xmlns:ns4="47d2a402-d77b-4bbf-8606-249d8b7d3cfc" targetNamespace="http://schemas.microsoft.com/office/2006/metadata/properties" ma:root="true" ma:fieldsID="b9049b8d6af9ed176373af095fb0f860" ns1:_="" ns2:_="" ns4:_="">
    <xsd:import namespace="http://schemas.microsoft.com/sharepoint/v3"/>
    <xsd:import namespace="aaa33bb4-a131-48f4-9bc1-82a00e57a64a"/>
    <xsd:import namespace="47d2a402-d77b-4bbf-8606-249d8b7d3cfc"/>
    <xsd:element name="properties">
      <xsd:complexType>
        <xsd:sequence>
          <xsd:element name="documentManagement">
            <xsd:complexType>
              <xsd:all>
                <xsd:element ref="ns2:Kurzform" minOccurs="0"/>
                <xsd:element ref="ns2:Numero" minOccurs="0"/>
                <xsd:element ref="ns2:Dokumentart" minOccurs="0"/>
                <xsd:element ref="ns4:DateString" minOccurs="0"/>
                <xsd:element ref="ns1:Language" minOccurs="0"/>
                <xsd:element ref="ns1:CustomerID" minOccurs="0"/>
                <xsd:element ref="ns2:Schluesselwort" minOccurs="0"/>
                <xsd:element ref="ns2:Zielgruppe" minOccurs="0"/>
                <xsd:element ref="ns2:ExemplarWeitere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7" nillable="true" ma:displayName="Sprache" ma:internalName="Languag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E"/>
                    <xsd:enumeration value="IT"/>
                    <xsd:enumeration value="RM"/>
                    <xsd:enumeration value="EN"/>
                  </xsd:restriction>
                </xsd:simpleType>
              </xsd:element>
            </xsd:sequence>
          </xsd:extension>
        </xsd:complexContent>
      </xsd:complexType>
    </xsd:element>
    <xsd:element name="CustomerID" ma:index="8" nillable="true" ma:displayName="Benutzerdefinierte ID" ma:description="" ma:internalName="Customer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33bb4-a131-48f4-9bc1-82a00e57a64a" elementFormDefault="qualified">
    <xsd:import namespace="http://schemas.microsoft.com/office/2006/documentManagement/types"/>
    <xsd:import namespace="http://schemas.microsoft.com/office/infopath/2007/PartnerControls"/>
    <xsd:element name="Kurzform" ma:index="2" nillable="true" ma:displayName="Kurzform" ma:description="Kurzform zur Dokumentidentifikation" ma:internalName="Kurzform">
      <xsd:simpleType>
        <xsd:restriction base="dms:Text">
          <xsd:maxLength value="100"/>
        </xsd:restriction>
      </xsd:simpleType>
    </xsd:element>
    <xsd:element name="Numero" ma:index="3" nillable="true" ma:displayName="Numero" ma:internalName="Numero">
      <xsd:simpleType>
        <xsd:restriction base="dms:Text">
          <xsd:maxLength value="100"/>
        </xsd:restriction>
      </xsd:simpleType>
    </xsd:element>
    <xsd:element name="Dokumentart" ma:index="5" nillable="true" ma:displayName="Dokumentart" ma:internalName="Dokumentar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Vollzugshilfe"/>
                    <xsd:enumeration value="Merkblatt"/>
                    <xsd:enumeration value="Weisung"/>
                    <xsd:enumeration value="Formular"/>
                    <xsd:enumeration value="Publikation"/>
                    <xsd:enumeration value="Medienmitteilung"/>
                    <xsd:enumeration value="Temporäre Dokumente"/>
                    <xsd:enumeration value="anderes!"/>
                  </xsd:restriction>
                </xsd:simpleType>
              </xsd:element>
            </xsd:sequence>
          </xsd:extension>
        </xsd:complexContent>
      </xsd:complexType>
    </xsd:element>
    <xsd:element name="Schluesselwort" ma:index="16" nillable="true" ma:displayName="Schluesselwort" ma:internalName="Schluesselwort">
      <xsd:simpleType>
        <xsd:restriction base="dms:Text">
          <xsd:maxLength value="255"/>
        </xsd:restriction>
      </xsd:simpleType>
    </xsd:element>
    <xsd:element name="Zielgruppe" ma:index="17" nillable="true" ma:displayName="Zielgruppe" ma:internalName="Zielgrup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Zielgruppe 1"/>
                    <xsd:enumeration value="Zielgruppe 2"/>
                  </xsd:restriction>
                </xsd:simpleType>
              </xsd:element>
            </xsd:sequence>
          </xsd:extension>
        </xsd:complexContent>
      </xsd:complexType>
    </xsd:element>
    <xsd:element name="ExemplarWeiteres" ma:index="19" nillable="true" ma:displayName="Weiteres" ma:internalName="ExemplarWeitere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2a402-d77b-4bbf-8606-249d8b7d3cfc" elementFormDefault="qualified">
    <xsd:import namespace="http://schemas.microsoft.com/office/2006/documentManagement/types"/>
    <xsd:import namespace="http://schemas.microsoft.com/office/infopath/2007/PartnerControls"/>
    <xsd:element name="DateString" ma:index="6" nillable="true" ma:displayName="Datum" ma:description="Verweisdatum (s.a. im Dokument)" ma:format="DateOnly" ma:internalName="DateString">
      <xsd:simpleType>
        <xsd:restriction base="dms:DateTime"/>
      </xsd:simple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Inhaltstyp"/>
        <xsd:element ref="dc:title" minOccurs="0" maxOccurs="1" ma:index="1" ma:displayName="Titel"/>
        <xsd:element ref="dc:subject" minOccurs="0" maxOccurs="1"/>
        <xsd:element ref="dc:description" minOccurs="0" maxOccurs="1" ma:index="9" ma:displayName="Kommentare"/>
        <xsd:element name="keywords" minOccurs="0" maxOccurs="1" type="xsd:string"/>
        <xsd:element ref="dc:language" minOccurs="0" maxOccurs="1"/>
        <xsd:element name="category" minOccurs="0" maxOccurs="1" type="xsd:string" ma:index="4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
      <Value>DE</Value>
    </Language>
    <ExemplarWeiteres xmlns="aaa33bb4-a131-48f4-9bc1-82a00e57a64a" xsi:nil="true"/>
    <Dokumentart xmlns="aaa33bb4-a131-48f4-9bc1-82a00e57a64a">
      <Value>Formular</Value>
    </Dokumentart>
    <DateString xmlns="47d2a402-d77b-4bbf-8606-249d8b7d3cfc">2025-11-10T23:00:00+00:00</DateString>
    <Zielgruppe xmlns="aaa33bb4-a131-48f4-9bc1-82a00e57a64a"/>
    <Kurzform xmlns="aaa33bb4-a131-48f4-9bc1-82a00e57a64a">AF008d</Kurzform>
    <Numero xmlns="aaa33bb4-a131-48f4-9bc1-82a00e57a64a" xsi:nil="true"/>
    <CustomerID xmlns="http://schemas.microsoft.com/sharepoint/v3">AF008d</CustomerID>
    <Schluesselwort xmlns="aaa33bb4-a131-48f4-9bc1-82a00e57a64a">T_Abwasser_Ara_Betrieb</Schluesselwort>
  </documentManagement>
</p:properties>
</file>

<file path=customXml/itemProps1.xml><?xml version="1.0" encoding="utf-8"?>
<ds:datastoreItem xmlns:ds="http://schemas.openxmlformats.org/officeDocument/2006/customXml" ds:itemID="{A9656EF4-0F02-4C22-BA75-9E0A1DB54799}"/>
</file>

<file path=customXml/itemProps2.xml><?xml version="1.0" encoding="utf-8"?>
<ds:datastoreItem xmlns:ds="http://schemas.openxmlformats.org/officeDocument/2006/customXml" ds:itemID="{85D1ADD0-D64B-4CCE-9F09-7710EAA16A1A}"/>
</file>

<file path=customXml/itemProps3.xml><?xml version="1.0" encoding="utf-8"?>
<ds:datastoreItem xmlns:ds="http://schemas.openxmlformats.org/officeDocument/2006/customXml" ds:itemID="{D5660EA5-B597-41BE-BBF3-A46F119AA1D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13</vt:i4>
      </vt:variant>
    </vt:vector>
  </HeadingPairs>
  <TitlesOfParts>
    <vt:vector size="21" baseType="lpstr">
      <vt:lpstr>Info</vt:lpstr>
      <vt:lpstr>Betriebsdaten</vt:lpstr>
      <vt:lpstr>Entsorgung</vt:lpstr>
      <vt:lpstr>ChemischeDaten</vt:lpstr>
      <vt:lpstr>KSAbnehmerVerzeichnis</vt:lpstr>
      <vt:lpstr>Texte</vt:lpstr>
      <vt:lpstr>ARAListe</vt:lpstr>
      <vt:lpstr>AusgabeB4</vt:lpstr>
      <vt:lpstr>Betriebsdaten!Druckbereich</vt:lpstr>
      <vt:lpstr>ChemischeDaten!Druckbereich</vt:lpstr>
      <vt:lpstr>Entsorgung!Druckbereich</vt:lpstr>
      <vt:lpstr>KSAbnehmerVerzeichnis!Druckbereich</vt:lpstr>
      <vt:lpstr>ChemischeDaten!Drucktitel</vt:lpstr>
      <vt:lpstr>Entsorgung!Drucktitel</vt:lpstr>
      <vt:lpstr>K_ARAListe</vt:lpstr>
      <vt:lpstr>K_ARAName</vt:lpstr>
      <vt:lpstr>K_ARANr</vt:lpstr>
      <vt:lpstr>K_Betriebsjahr</vt:lpstr>
      <vt:lpstr>K_Italienisch</vt:lpstr>
      <vt:lpstr>K_SpracheSpalte</vt:lpstr>
      <vt:lpstr>K_Texte</vt:lpstr>
    </vt:vector>
  </TitlesOfParts>
  <Company>ANU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ARA-Betriebsdaten B4 (xlsx)</dc:title>
  <dc:creator>Michael Holzer</dc:creator>
  <cp:keywords>TP_Abwasser_BetriebAbwaAnl_Home</cp:keywords>
  <dc:description>Erfassungsblätter ARA-Betriebsdaten</dc:description>
  <cp:lastModifiedBy>Holzer Michael (ANU GR)</cp:lastModifiedBy>
  <cp:lastPrinted>2021-06-18T06:10:48Z</cp:lastPrinted>
  <dcterms:created xsi:type="dcterms:W3CDTF">1996-10-17T05:27:31Z</dcterms:created>
  <dcterms:modified xsi:type="dcterms:W3CDTF">2025-11-06T10:54:52Z</dcterms:modified>
  <cp:category>TP_Abwasser_BetriebAbwaAnl_Home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2025-11-06T10:54:26Z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24d2a0e7-0d2b-4cb0-ab4b-032e87b9b139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0x0101003B9A4BAD06C92748B2C8CA92399C5FA3</vt:lpwstr>
  </property>
</Properties>
</file>